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filterPrivacy="1" codeName="ThisWorkbook"/>
  <xr:revisionPtr revIDLastSave="0" documentId="8_{CB99F890-3952-4BFD-A7D8-DB37D8062A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موازنة حفل الزفاف" sheetId="1" r:id="rId1"/>
    <sheet name="تفاصيل الموازنة" sheetId="2" r:id="rId2"/>
  </sheets>
  <definedNames>
    <definedName name="_xlnm.Print_Titles" localSheetId="1">'تفاصيل الموازنة'!$1:$3</definedName>
    <definedName name="TBL_RankingData">'موازنة حفل الزفاف'!$J$6:$N$15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5" i="2"/>
  <c r="D10" i="2"/>
  <c r="C10" i="2"/>
  <c r="E10" i="2" l="1"/>
  <c r="K6" i="1"/>
  <c r="E90" i="2"/>
  <c r="E89" i="2"/>
  <c r="E88" i="2"/>
  <c r="E87" i="2"/>
  <c r="E86" i="2"/>
  <c r="E81" i="2"/>
  <c r="E80" i="2"/>
  <c r="E75" i="2"/>
  <c r="E74" i="2"/>
  <c r="E73" i="2"/>
  <c r="E72" i="2"/>
  <c r="E71" i="2"/>
  <c r="E70" i="2"/>
  <c r="E69" i="2"/>
  <c r="E68" i="2"/>
  <c r="E63" i="2"/>
  <c r="E62" i="2"/>
  <c r="E61" i="2"/>
  <c r="E56" i="2"/>
  <c r="E55" i="2"/>
  <c r="E54" i="2"/>
  <c r="E49" i="2"/>
  <c r="E48" i="2"/>
  <c r="E47" i="2"/>
  <c r="E46" i="2"/>
  <c r="E41" i="2"/>
  <c r="E40" i="2"/>
  <c r="E39" i="2"/>
  <c r="E38" i="2"/>
  <c r="E37" i="2"/>
  <c r="E32" i="2"/>
  <c r="E31" i="2"/>
  <c r="E30" i="2"/>
  <c r="E29" i="2"/>
  <c r="E28" i="2"/>
  <c r="E27" i="2"/>
  <c r="E26" i="2"/>
  <c r="E25" i="2"/>
  <c r="E24" i="2"/>
  <c r="E19" i="2"/>
  <c r="E18" i="2"/>
  <c r="E17" i="2"/>
  <c r="E16" i="2"/>
  <c r="E15" i="2"/>
  <c r="E14" i="2"/>
  <c r="D64" i="2" l="1"/>
  <c r="L12" i="1" s="1"/>
  <c r="C64" i="2"/>
  <c r="K12" i="1" s="1"/>
  <c r="M12" i="1" s="1"/>
  <c r="D57" i="2"/>
  <c r="L11" i="1" s="1"/>
  <c r="C57" i="2"/>
  <c r="K11" i="1" s="1"/>
  <c r="M11" i="1" s="1"/>
  <c r="D50" i="2"/>
  <c r="L10" i="1" s="1"/>
  <c r="C50" i="2"/>
  <c r="K10" i="1" s="1"/>
  <c r="M10" i="1" s="1"/>
  <c r="D42" i="2"/>
  <c r="L9" i="1" s="1"/>
  <c r="C42" i="2"/>
  <c r="K9" i="1" s="1"/>
  <c r="M9" i="1" s="1"/>
  <c r="D33" i="2"/>
  <c r="L8" i="1" s="1"/>
  <c r="C33" i="2"/>
  <c r="K8" i="1" s="1"/>
  <c r="M8" i="1" s="1"/>
  <c r="D76" i="2"/>
  <c r="L13" i="1" s="1"/>
  <c r="C76" i="2"/>
  <c r="K13" i="1" s="1"/>
  <c r="M13" i="1" s="1"/>
  <c r="D82" i="2"/>
  <c r="L14" i="1" s="1"/>
  <c r="C82" i="2"/>
  <c r="K14" i="1" s="1"/>
  <c r="M14" i="1" s="1"/>
  <c r="D91" i="2"/>
  <c r="L15" i="1" s="1"/>
  <c r="C91" i="2"/>
  <c r="K15" i="1" s="1"/>
  <c r="M15" i="1" s="1"/>
  <c r="D20" i="2"/>
  <c r="L7" i="1" s="1"/>
  <c r="C20" i="2"/>
  <c r="K7" i="1" s="1"/>
  <c r="M7" i="1" s="1"/>
  <c r="L6" i="1"/>
  <c r="M6" i="1"/>
  <c r="N12" i="1" l="1"/>
  <c r="N9" i="1"/>
  <c r="N15" i="1"/>
  <c r="N10" i="1"/>
  <c r="N7" i="1"/>
  <c r="N6" i="1"/>
  <c r="N11" i="1"/>
  <c r="N8" i="1"/>
  <c r="N13" i="1"/>
  <c r="N14" i="1"/>
  <c r="E91" i="2"/>
  <c r="E82" i="2"/>
  <c r="E76" i="2"/>
  <c r="E64" i="2"/>
  <c r="E57" i="2"/>
  <c r="E50" i="2"/>
  <c r="E42" i="2"/>
  <c r="E33" i="2"/>
  <c r="E20" i="2"/>
  <c r="P6" i="1" l="1"/>
  <c r="B6" i="1" s="1"/>
  <c r="C6" i="1" s="1"/>
  <c r="P7" i="1"/>
  <c r="B7" i="1" s="1"/>
  <c r="D7" i="1" s="1"/>
  <c r="P8" i="1"/>
  <c r="B8" i="1" s="1"/>
  <c r="C8" i="1" s="1"/>
  <c r="P10" i="1"/>
  <c r="B10" i="1" s="1"/>
  <c r="D10" i="1" s="1"/>
  <c r="P9" i="1"/>
  <c r="B9" i="1" s="1"/>
  <c r="C9" i="1" s="1"/>
  <c r="P14" i="1"/>
  <c r="B14" i="1" s="1"/>
  <c r="C14" i="1" s="1"/>
  <c r="P15" i="1"/>
  <c r="B15" i="1" s="1"/>
  <c r="C15" i="1" s="1"/>
  <c r="P12" i="1"/>
  <c r="P11" i="1"/>
  <c r="B11" i="1" s="1"/>
  <c r="D11" i="1" s="1"/>
  <c r="P13" i="1"/>
  <c r="B13" i="1" s="1"/>
  <c r="C13" i="1" s="1"/>
  <c r="D6" i="1" l="1"/>
  <c r="E6" i="1" s="1"/>
  <c r="B12" i="1"/>
  <c r="D12" i="1" s="1"/>
  <c r="C7" i="1"/>
  <c r="D9" i="1"/>
  <c r="E9" i="1" s="1"/>
  <c r="C11" i="1"/>
  <c r="E11" i="1" s="1"/>
  <c r="D13" i="1"/>
  <c r="E13" i="1" s="1"/>
  <c r="D14" i="1"/>
  <c r="E14" i="1" s="1"/>
  <c r="C10" i="1"/>
  <c r="E10" i="1" s="1"/>
  <c r="D8" i="1"/>
  <c r="E8" i="1" s="1"/>
  <c r="D15" i="1"/>
  <c r="E15" i="1" s="1"/>
  <c r="C12" i="1" l="1"/>
  <c r="F12" i="1" s="1"/>
  <c r="E7" i="1"/>
  <c r="D16" i="1"/>
  <c r="F9" i="1" l="1"/>
  <c r="F13" i="1"/>
  <c r="F6" i="1"/>
  <c r="F11" i="1"/>
  <c r="F10" i="1"/>
  <c r="C16" i="1"/>
  <c r="E16" i="1" s="1"/>
  <c r="F8" i="1"/>
  <c r="F14" i="1"/>
  <c r="E12" i="1"/>
  <c r="F7" i="1"/>
  <c r="F15" i="1"/>
  <c r="F16" i="1" l="1"/>
</calcChain>
</file>

<file path=xl/sharedStrings.xml><?xml version="1.0" encoding="utf-8"?>
<sst xmlns="http://schemas.openxmlformats.org/spreadsheetml/2006/main" count="128" uniqueCount="84">
  <si>
    <t>الفئة</t>
  </si>
  <si>
    <t>الإجمالي</t>
  </si>
  <si>
    <t>"التكلفة المقدرة"</t>
  </si>
  <si>
    <t>التكلفة الفعلية</t>
  </si>
  <si>
    <t>نسبة الفرق</t>
  </si>
  <si>
    <t>الميزانية %</t>
  </si>
  <si>
    <t xml:space="preserve"> </t>
  </si>
  <si>
    <t>غير مصنّف</t>
  </si>
  <si>
    <t>الاستقبال</t>
  </si>
  <si>
    <t>الملابس</t>
  </si>
  <si>
    <t>الأزهار والزخرفة</t>
  </si>
  <si>
    <t>الموسيقى</t>
  </si>
  <si>
    <t>الصور الفوتوغرافية والفيديو</t>
  </si>
  <si>
    <t>هدايا حفل الزواج والهدايا</t>
  </si>
  <si>
    <t>الحفل</t>
  </si>
  <si>
    <t>الخطابات</t>
  </si>
  <si>
    <t>خواتم الزواج</t>
  </si>
  <si>
    <t>وسائل النقل</t>
  </si>
  <si>
    <t>التكاليف المقدرة</t>
  </si>
  <si>
    <t>التكاليف الفعلية</t>
  </si>
  <si>
    <t>التكلفة المقدرة - قيمة الترتيب</t>
  </si>
  <si>
    <t>الترتيب</t>
  </si>
  <si>
    <t>الرقم</t>
  </si>
  <si>
    <t>مرتّبة</t>
  </si>
  <si>
    <t>تفاصيل الموازنة</t>
  </si>
  <si>
    <t>مكان الدعوى والإيجارات</t>
  </si>
  <si>
    <t>الطعام والخدمة</t>
  </si>
  <si>
    <t>المشروبات</t>
  </si>
  <si>
    <t>الكعكة</t>
  </si>
  <si>
    <t>مصاريف متنوعة</t>
  </si>
  <si>
    <t>إجمالي حفل الاستقبال</t>
  </si>
  <si>
    <t>التكس و/أو البدلة و/أو الفساتين</t>
  </si>
  <si>
    <t>التعديلات</t>
  </si>
  <si>
    <t>غطاء الرأس والوشاح</t>
  </si>
  <si>
    <t>الملحقات</t>
  </si>
  <si>
    <t>الشعر والتجميل</t>
  </si>
  <si>
    <t>مجموع ATTIRE</t>
  </si>
  <si>
    <t>ترتيبات الزهور للحفل</t>
  </si>
  <si>
    <t>عصابة من الورد للفتيات الصغيرات وسلة</t>
  </si>
  <si>
    <t>وسادة الخاتم</t>
  </si>
  <si>
    <t>باقات الزهور</t>
  </si>
  <si>
    <t>ورود البذلات</t>
  </si>
  <si>
    <t>الزهور الصغيرة للعروس والأصدقاء</t>
  </si>
  <si>
    <t>زينة قاعة الاستقبال</t>
  </si>
  <si>
    <t>الإضاءة</t>
  </si>
  <si>
    <t>مجمموع الزهور والديكورات</t>
  </si>
  <si>
    <t>موسيقيون الحفل</t>
  </si>
  <si>
    <t>موسيقيون ساعة الكوكتيل</t>
  </si>
  <si>
    <t>فرقة الاستقبال أو موسيقى (الديجي) أو الترفيه</t>
  </si>
  <si>
    <t>استئجار نظام الصوت أو قاعة الرقص</t>
  </si>
  <si>
    <t>إجمالي الموسيقي</t>
  </si>
  <si>
    <t>التصوير الفوتوغرافي والفيديو</t>
  </si>
  <si>
    <t>التصوير</t>
  </si>
  <si>
    <t>تصوير الفيديو</t>
  </si>
  <si>
    <t>مطبوعات وألبومات إضافية</t>
  </si>
  <si>
    <t>إجمالي التصوير والفيديو</t>
  </si>
  <si>
    <t>المنح والهدايا</t>
  </si>
  <si>
    <t>هدايا الترحيب</t>
  </si>
  <si>
    <t>هدايا الحفلة</t>
  </si>
  <si>
    <t>إجمالي الهدايا</t>
  </si>
  <si>
    <t>رسوم الموقع</t>
  </si>
  <si>
    <t>رسوم الشيخ/الكاهن أو التبرع للجامع/الكنيسة</t>
  </si>
  <si>
    <t>مجموع الحفل</t>
  </si>
  <si>
    <t>ثابت</t>
  </si>
  <si>
    <t>بطاقات "حفظ التاريخ"</t>
  </si>
  <si>
    <t>الدعوات وطلبات الاستجابة</t>
  </si>
  <si>
    <t>برنامج الحفل</t>
  </si>
  <si>
    <t>بطاقات الجلوس والمكان</t>
  </si>
  <si>
    <t>بطاقات القوائم</t>
  </si>
  <si>
    <t>ملاحظات الشكر</t>
  </si>
  <si>
    <t>رسوم البريد</t>
  </si>
  <si>
    <t>المجموع الكلي للقرطاسية</t>
  </si>
  <si>
    <t>ملحقات الخاتم</t>
  </si>
  <si>
    <t>مجموع خواتم الزفاف</t>
  </si>
  <si>
    <t xml:space="preserve">وسيلة النقل  </t>
  </si>
  <si>
    <t>إيجار السيارة الرئيسية</t>
  </si>
  <si>
    <t>إيجار سيارات الضيوف</t>
  </si>
  <si>
    <t>وسائل النقل للضيوف خارج المدينة</t>
  </si>
  <si>
    <t>خدمة صف السيارات</t>
  </si>
  <si>
    <t>إجمالي النقل</t>
  </si>
  <si>
    <t>مُقدر</t>
  </si>
  <si>
    <t>المُقدر</t>
  </si>
  <si>
    <t>الفعلي</t>
  </si>
  <si>
    <r>
      <rPr>
        <b/>
        <sz val="28"/>
        <color theme="3"/>
        <rFont val="Tahoma"/>
        <family val="2"/>
      </rPr>
      <t>LISHA</t>
    </r>
    <r>
      <rPr>
        <b/>
        <sz val="28"/>
        <color theme="1"/>
        <rFont val="Tahoma"/>
        <family val="2"/>
      </rPr>
      <t xml:space="preserve"> +</t>
    </r>
    <r>
      <rPr>
        <b/>
        <sz val="28"/>
        <color theme="3"/>
        <rFont val="Tahoma"/>
        <family val="2"/>
      </rPr>
      <t xml:space="preserve"> DANIEL</t>
    </r>
    <r>
      <rPr>
        <b/>
        <sz val="11"/>
        <color theme="1" tint="0.14999847407452621"/>
        <rFont val="Tahoma"/>
        <family val="2"/>
      </rPr>
      <t xml:space="preserve">
</t>
    </r>
    <r>
      <rPr>
        <b/>
        <sz val="32"/>
        <color theme="1"/>
        <rFont val="Tahoma"/>
        <family val="2"/>
      </rPr>
      <t>ربط العقدة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</si>
</sst>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&quot;ر.س.‏&quot;\ #,##0_-;[Red]&quot;ر.س.‏&quot;\ #,##0\-"/>
    <numFmt numFmtId="165" formatCode="&quot;ر.س.‏&quot;\ #,##0.00_-;[Red]&quot;ر.س.‏&quot;\ #,##0.00\-"/>
    <numFmt numFmtId="166" formatCode="_-&quot;ر.س.‏&quot;\ * #,##0_-;_-&quot;ر.س.‏&quot;\ * #,##0\-;_-&quot;ر.س.‏&quot;\ * &quot;-&quot;_-;_-@_-"/>
    <numFmt numFmtId="167" formatCode="_-* #,##0_-;_-* #,##0\-;_-* &quot;-&quot;_-;_-@_-"/>
    <numFmt numFmtId="168" formatCode="_-&quot;ر.س.‏&quot;\ * #,##0.00_-;_-&quot;ر.س.‏&quot;\ * #,##0.00\-;_-&quot;ر.س.‏&quot;\ * &quot;-&quot;??_-;_-@_-"/>
    <numFmt numFmtId="169" formatCode="_-* #,##0.00_-;_-* #,##0.00\-;_-* &quot;-&quot;??_-;_-@_-"/>
    <numFmt numFmtId="170" formatCode="&quot;$&quot;#,##0.00_);[Red]\(&quot;$&quot;#,##0.00\)"/>
    <numFmt numFmtId="171" formatCode="0.0%"/>
  </numFmts>
  <fonts count="36" x14ac:knownFonts="1"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rgb="FF006100"/>
      <name val="Tahoma"/>
      <family val="2"/>
    </font>
    <font>
      <sz val="11"/>
      <color rgb="FF9C0006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sz val="11"/>
      <color rgb="FF3F3F7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sz val="11"/>
      <color rgb="FFFA7D00"/>
      <name val="Tahoma"/>
      <family val="2"/>
    </font>
    <font>
      <sz val="11"/>
      <color rgb="FFFF0000"/>
      <name val="Tahoma"/>
      <family val="2"/>
    </font>
    <font>
      <i/>
      <sz val="11"/>
      <color rgb="FF7F7F7F"/>
      <name val="Tahoma"/>
      <family val="2"/>
    </font>
    <font>
      <b/>
      <sz val="11"/>
      <color theme="1"/>
      <name val="Tahoma"/>
      <family val="2"/>
    </font>
    <font>
      <sz val="18"/>
      <color theme="3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b/>
      <sz val="11"/>
      <color theme="1" tint="0.14999847407452621"/>
      <name val="Tahoma"/>
      <family val="2"/>
    </font>
    <font>
      <sz val="8"/>
      <color theme="1" tint="0.14999847407452621"/>
      <name val="Tahoma"/>
      <family val="2"/>
    </font>
    <font>
      <sz val="11"/>
      <color theme="1" tint="0.14999847407452621"/>
      <name val="Tahoma"/>
      <family val="2"/>
    </font>
    <font>
      <b/>
      <sz val="28"/>
      <color theme="1" tint="0.14999847407452621"/>
      <name val="Tahoma"/>
      <family val="2"/>
    </font>
    <font>
      <b/>
      <sz val="28"/>
      <color theme="3"/>
      <name val="Tahoma"/>
      <family val="2"/>
    </font>
    <font>
      <b/>
      <sz val="28"/>
      <color theme="1"/>
      <name val="Tahoma"/>
      <family val="2"/>
    </font>
    <font>
      <b/>
      <sz val="32"/>
      <color theme="1"/>
      <name val="Tahoma"/>
      <family val="2"/>
    </font>
    <font>
      <b/>
      <sz val="14"/>
      <color rgb="FF17A1AB"/>
      <name val="Tahoma"/>
      <family val="2"/>
    </font>
    <font>
      <b/>
      <sz val="9"/>
      <color rgb="FF818B8A"/>
      <name val="Tahoma"/>
      <family val="2"/>
    </font>
    <font>
      <b/>
      <sz val="11"/>
      <color theme="4" tint="-0.249977111117893"/>
      <name val="Tahoma"/>
      <family val="2"/>
    </font>
    <font>
      <sz val="11"/>
      <color theme="4" tint="-0.249977111117893"/>
      <name val="Tahoma"/>
      <family val="2"/>
    </font>
    <font>
      <sz val="10"/>
      <color theme="1" tint="0.14999847407452621"/>
      <name val="Tahoma"/>
      <family val="2"/>
    </font>
    <font>
      <b/>
      <sz val="16"/>
      <color theme="3"/>
      <name val="Tahoma"/>
      <family val="2"/>
    </font>
    <font>
      <b/>
      <sz val="10"/>
      <color theme="3"/>
      <name val="Tahoma"/>
      <family val="2"/>
    </font>
    <font>
      <sz val="10"/>
      <color theme="1"/>
      <name val="Tahoma"/>
      <family val="2"/>
    </font>
    <font>
      <sz val="11"/>
      <color theme="0"/>
      <name val="Tahoma"/>
      <family val="2"/>
    </font>
    <font>
      <sz val="10"/>
      <color rgb="FF43646B"/>
      <name val="Tahoma"/>
      <family val="2"/>
    </font>
    <font>
      <sz val="11"/>
      <color rgb="FF43646B"/>
      <name val="Tahoma"/>
      <family val="2"/>
    </font>
    <font>
      <b/>
      <sz val="36"/>
      <color theme="3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3">
    <xf numFmtId="0" fontId="0" fillId="0" borderId="0">
      <alignment readingOrder="2"/>
    </xf>
    <xf numFmtId="169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6" fontId="1" fillId="0" borderId="0" applyFill="0" applyBorder="0" applyAlignment="0" applyProtection="0"/>
    <xf numFmtId="9" fontId="1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6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6" fillId="5" borderId="16" applyNumberFormat="0" applyAlignment="0" applyProtection="0"/>
    <xf numFmtId="0" fontId="5" fillId="6" borderId="17" applyNumberFormat="0" applyAlignment="0" applyProtection="0"/>
    <xf numFmtId="0" fontId="7" fillId="6" borderId="16" applyNumberFormat="0" applyAlignment="0" applyProtection="0"/>
    <xf numFmtId="0" fontId="9" fillId="0" borderId="18" applyNumberFormat="0" applyFill="0" applyAlignment="0" applyProtection="0"/>
    <xf numFmtId="0" fontId="8" fillId="7" borderId="19" applyNumberFormat="0" applyAlignment="0" applyProtection="0"/>
    <xf numFmtId="0" fontId="10" fillId="0" borderId="0" applyNumberFormat="0" applyFill="0" applyBorder="0" applyAlignment="0" applyProtection="0"/>
    <xf numFmtId="0" fontId="1" fillId="8" borderId="20" applyNumberFormat="0" applyAlignment="0" applyProtection="0"/>
    <xf numFmtId="0" fontId="11" fillId="0" borderId="0" applyNumberFormat="0" applyFill="0" applyBorder="0" applyAlignment="0" applyProtection="0"/>
    <xf numFmtId="0" fontId="12" fillId="0" borderId="21" applyNumberFormat="0" applyFill="0" applyAlignment="0" applyProtection="0"/>
  </cellStyleXfs>
  <cellXfs count="77">
    <xf numFmtId="0" fontId="0" fillId="0" borderId="0" xfId="0">
      <alignment readingOrder="2"/>
    </xf>
    <xf numFmtId="0" fontId="17" fillId="0" borderId="0" xfId="0" applyFont="1" applyBorder="1" applyAlignment="1">
      <alignment horizontal="center" vertical="center" readingOrder="2"/>
    </xf>
    <xf numFmtId="0" fontId="17" fillId="0" borderId="0" xfId="0" applyFont="1" applyBorder="1" applyAlignment="1">
      <alignment horizontal="right" vertical="center" indent="1" readingOrder="2"/>
    </xf>
    <xf numFmtId="0" fontId="18" fillId="0" borderId="0" xfId="0" applyFont="1" applyAlignment="1">
      <alignment horizontal="right" vertical="center" readingOrder="2"/>
    </xf>
    <xf numFmtId="0" fontId="19" fillId="0" borderId="0" xfId="0" applyFont="1" applyAlignment="1">
      <alignment horizontal="center" vertical="center" readingOrder="2"/>
    </xf>
    <xf numFmtId="0" fontId="19" fillId="0" borderId="0" xfId="0" applyFont="1" applyAlignment="1">
      <alignment horizontal="right" vertical="center" readingOrder="2"/>
    </xf>
    <xf numFmtId="0" fontId="19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 readingOrder="2"/>
    </xf>
    <xf numFmtId="0" fontId="20" fillId="0" borderId="0" xfId="0" applyFont="1" applyAlignment="1">
      <alignment horizontal="center" vertical="center" readingOrder="2"/>
    </xf>
    <xf numFmtId="0" fontId="20" fillId="0" borderId="0" xfId="0" applyFont="1" applyAlignment="1">
      <alignment horizontal="right" vertical="center" readingOrder="2"/>
    </xf>
    <xf numFmtId="0" fontId="2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right" vertical="center" indent="1" readingOrder="2"/>
    </xf>
    <xf numFmtId="0" fontId="19" fillId="0" borderId="0" xfId="0" applyFont="1" applyBorder="1" applyAlignment="1">
      <alignment horizontal="center" vertical="center" readingOrder="2"/>
    </xf>
    <xf numFmtId="0" fontId="19" fillId="0" borderId="10" xfId="0" applyFont="1" applyBorder="1" applyAlignment="1">
      <alignment horizontal="center" vertical="center" readingOrder="2"/>
    </xf>
    <xf numFmtId="0" fontId="19" fillId="0" borderId="9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 indent="1" readingOrder="2"/>
    </xf>
    <xf numFmtId="0" fontId="17" fillId="0" borderId="0" xfId="0" applyFont="1" applyFill="1" applyBorder="1" applyAlignment="1">
      <alignment horizontal="center" vertical="center" readingOrder="2"/>
    </xf>
    <xf numFmtId="0" fontId="24" fillId="0" borderId="0" xfId="0" applyFont="1" applyFill="1" applyBorder="1" applyAlignment="1">
      <alignment horizontal="right" vertical="center" readingOrder="2"/>
    </xf>
    <xf numFmtId="0" fontId="24" fillId="0" borderId="0" xfId="0" applyFont="1" applyFill="1" applyBorder="1" applyAlignment="1">
      <alignment horizontal="center" vertical="center" readingOrder="2"/>
    </xf>
    <xf numFmtId="0" fontId="19" fillId="0" borderId="0" xfId="0" quotePrefix="1" applyFont="1" applyAlignment="1">
      <alignment horizontal="center" vertical="center" readingOrder="2"/>
    </xf>
    <xf numFmtId="0" fontId="25" fillId="0" borderId="0" xfId="0" applyFont="1" applyFill="1" applyBorder="1" applyAlignment="1">
      <alignment horizontal="right" vertical="center" indent="1" readingOrder="2"/>
    </xf>
    <xf numFmtId="171" fontId="25" fillId="0" borderId="0" xfId="0" applyNumberFormat="1" applyFont="1" applyFill="1" applyBorder="1" applyAlignment="1">
      <alignment horizontal="center" vertical="center" readingOrder="2"/>
    </xf>
    <xf numFmtId="0" fontId="26" fillId="0" borderId="0" xfId="0" applyFont="1" applyBorder="1" applyAlignment="1">
      <alignment horizontal="center" vertical="center" readingOrder="2"/>
    </xf>
    <xf numFmtId="0" fontId="24" fillId="0" borderId="0" xfId="0" applyFont="1" applyFill="1" applyBorder="1" applyAlignment="1">
      <alignment horizontal="right" vertical="center" indent="1" readingOrder="2"/>
    </xf>
    <xf numFmtId="9" fontId="24" fillId="0" borderId="0" xfId="0" applyNumberFormat="1" applyFont="1" applyFill="1" applyBorder="1" applyAlignment="1">
      <alignment horizontal="center" vertical="center" readingOrder="2"/>
    </xf>
    <xf numFmtId="0" fontId="27" fillId="0" borderId="0" xfId="0" applyFont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2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 indent="1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indent="1"/>
    </xf>
    <xf numFmtId="0" fontId="19" fillId="0" borderId="0" xfId="0" applyFont="1" applyFill="1" applyAlignment="1">
      <alignment horizontal="center" vertical="center" readingOrder="2"/>
    </xf>
    <xf numFmtId="0" fontId="28" fillId="0" borderId="0" xfId="0" applyFont="1" applyFill="1" applyAlignment="1">
      <alignment horizontal="right" vertical="center" indent="1" readingOrder="2"/>
    </xf>
    <xf numFmtId="170" fontId="19" fillId="0" borderId="0" xfId="0" applyNumberFormat="1" applyFont="1" applyFill="1" applyAlignment="1">
      <alignment horizontal="center" vertical="center" readingOrder="2"/>
    </xf>
    <xf numFmtId="0" fontId="20" fillId="0" borderId="0" xfId="0" applyFont="1" applyFill="1" applyAlignment="1">
      <alignment horizontal="right" vertical="center" readingOrder="2"/>
    </xf>
    <xf numFmtId="170" fontId="20" fillId="0" borderId="0" xfId="0" applyNumberFormat="1" applyFont="1" applyFill="1" applyBorder="1" applyAlignment="1">
      <alignment horizontal="right" vertical="center" readingOrder="2"/>
    </xf>
    <xf numFmtId="0" fontId="20" fillId="0" borderId="0" xfId="0" applyFont="1" applyAlignment="1">
      <alignment horizontal="left" vertical="center"/>
    </xf>
    <xf numFmtId="0" fontId="19" fillId="0" borderId="0" xfId="0" applyFont="1" applyFill="1" applyBorder="1" applyAlignment="1">
      <alignment horizontal="center" vertical="center" readingOrder="2"/>
    </xf>
    <xf numFmtId="0" fontId="28" fillId="0" borderId="0" xfId="0" applyFont="1" applyFill="1" applyBorder="1" applyAlignment="1">
      <alignment horizontal="right" vertical="center" indent="1" readingOrder="2"/>
    </xf>
    <xf numFmtId="170" fontId="19" fillId="0" borderId="0" xfId="0" applyNumberFormat="1" applyFont="1" applyFill="1" applyBorder="1" applyAlignment="1">
      <alignment horizontal="center" vertical="center" readingOrder="2"/>
    </xf>
    <xf numFmtId="0" fontId="29" fillId="0" borderId="10" xfId="0" applyFont="1" applyFill="1" applyBorder="1" applyAlignment="1">
      <alignment horizontal="right" vertical="center" indent="1" readingOrder="2"/>
    </xf>
    <xf numFmtId="0" fontId="31" fillId="0" borderId="6" xfId="0" applyFont="1" applyFill="1" applyBorder="1" applyAlignment="1">
      <alignment horizontal="right" vertical="center" indent="1" readingOrder="2"/>
    </xf>
    <xf numFmtId="0" fontId="31" fillId="0" borderId="12" xfId="0" applyFont="1" applyFill="1" applyBorder="1" applyAlignment="1">
      <alignment horizontal="right" vertical="center" indent="1" readingOrder="2"/>
    </xf>
    <xf numFmtId="0" fontId="31" fillId="0" borderId="4" xfId="0" applyFont="1" applyFill="1" applyBorder="1" applyAlignment="1">
      <alignment horizontal="right" vertical="center" indent="1" readingOrder="2"/>
    </xf>
    <xf numFmtId="0" fontId="32" fillId="0" borderId="0" xfId="0" applyFont="1" applyAlignment="1">
      <alignment horizontal="center" vertical="center" readingOrder="2"/>
    </xf>
    <xf numFmtId="170" fontId="19" fillId="0" borderId="11" xfId="0" applyNumberFormat="1" applyFont="1" applyFill="1" applyBorder="1" applyAlignment="1">
      <alignment horizontal="center" vertical="center" readingOrder="2"/>
    </xf>
    <xf numFmtId="0" fontId="30" fillId="0" borderId="5" xfId="0" applyFont="1" applyFill="1" applyBorder="1" applyAlignment="1">
      <alignment horizontal="right" vertical="center" indent="1" readingOrder="2"/>
    </xf>
    <xf numFmtId="0" fontId="33" fillId="0" borderId="6" xfId="0" applyFont="1" applyFill="1" applyBorder="1" applyAlignment="1">
      <alignment horizontal="right" vertical="center" indent="1" readingOrder="2"/>
    </xf>
    <xf numFmtId="0" fontId="33" fillId="0" borderId="4" xfId="0" applyFont="1" applyFill="1" applyBorder="1" applyAlignment="1">
      <alignment horizontal="right" vertical="center" indent="1" readingOrder="2"/>
    </xf>
    <xf numFmtId="0" fontId="19" fillId="0" borderId="0" xfId="0" applyFont="1" applyFill="1" applyAlignment="1">
      <alignment horizontal="center" vertical="center"/>
    </xf>
    <xf numFmtId="0" fontId="28" fillId="0" borderId="0" xfId="0" applyFont="1" applyFill="1" applyBorder="1" applyAlignment="1">
      <alignment horizontal="left" vertical="center" indent="1"/>
    </xf>
    <xf numFmtId="170" fontId="19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left" vertical="center" indent="1"/>
    </xf>
    <xf numFmtId="0" fontId="30" fillId="0" borderId="22" xfId="0" applyFont="1" applyFill="1" applyBorder="1" applyAlignment="1">
      <alignment horizontal="right" vertical="center" indent="1" readingOrder="2"/>
    </xf>
    <xf numFmtId="165" fontId="0" fillId="0" borderId="8" xfId="0" applyNumberFormat="1" applyFont="1" applyFill="1" applyBorder="1" applyAlignment="1">
      <alignment horizontal="center" vertical="center" readingOrder="2"/>
    </xf>
    <xf numFmtId="165" fontId="0" fillId="0" borderId="7" xfId="0" applyNumberFormat="1" applyFont="1" applyFill="1" applyBorder="1" applyAlignment="1">
      <alignment horizontal="center" vertical="center" readingOrder="2"/>
    </xf>
    <xf numFmtId="165" fontId="0" fillId="0" borderId="6" xfId="0" applyNumberFormat="1" applyFont="1" applyFill="1" applyBorder="1" applyAlignment="1">
      <alignment horizontal="center" vertical="center" readingOrder="2"/>
    </xf>
    <xf numFmtId="165" fontId="0" fillId="0" borderId="0" xfId="0" applyNumberFormat="1" applyFont="1" applyFill="1" applyBorder="1" applyAlignment="1">
      <alignment horizontal="center" vertical="center" readingOrder="2"/>
    </xf>
    <xf numFmtId="165" fontId="0" fillId="0" borderId="9" xfId="0" applyNumberFormat="1" applyFont="1" applyFill="1" applyBorder="1" applyAlignment="1">
      <alignment horizontal="center" vertical="center" readingOrder="2"/>
    </xf>
    <xf numFmtId="165" fontId="0" fillId="0" borderId="11" xfId="0" applyNumberFormat="1" applyFont="1" applyFill="1" applyBorder="1" applyAlignment="1">
      <alignment horizontal="center" vertical="center" readingOrder="2"/>
    </xf>
    <xf numFmtId="165" fontId="0" fillId="0" borderId="5" xfId="0" applyNumberFormat="1" applyFont="1" applyFill="1" applyBorder="1" applyAlignment="1">
      <alignment horizontal="center" vertical="center" readingOrder="2"/>
    </xf>
    <xf numFmtId="165" fontId="0" fillId="0" borderId="0" xfId="0" applyNumberFormat="1" applyFont="1" applyFill="1" applyAlignment="1">
      <alignment horizontal="center" vertical="center" readingOrder="2"/>
    </xf>
    <xf numFmtId="165" fontId="34" fillId="0" borderId="0" xfId="0" applyNumberFormat="1" applyFont="1" applyFill="1" applyAlignment="1">
      <alignment horizontal="center" vertical="center" readingOrder="2"/>
    </xf>
    <xf numFmtId="164" fontId="25" fillId="0" borderId="0" xfId="0" applyNumberFormat="1" applyFont="1" applyFill="1" applyBorder="1" applyAlignment="1">
      <alignment horizontal="center" vertical="center" readingOrder="2"/>
    </xf>
    <xf numFmtId="164" fontId="24" fillId="0" borderId="0" xfId="0" applyNumberFormat="1" applyFont="1" applyFill="1" applyBorder="1" applyAlignment="1">
      <alignment horizontal="center" vertical="center" readingOrder="2"/>
    </xf>
    <xf numFmtId="0" fontId="19" fillId="0" borderId="0" xfId="0" applyNumberFormat="1" applyFont="1" applyAlignment="1">
      <alignment horizontal="center" vertical="center" readingOrder="2"/>
    </xf>
    <xf numFmtId="0" fontId="35" fillId="0" borderId="0" xfId="0" applyFont="1" applyFill="1" applyBorder="1" applyAlignment="1">
      <alignment horizontal="right" vertical="center" readingOrder="2"/>
    </xf>
    <xf numFmtId="165" fontId="16" fillId="0" borderId="2" xfId="0" applyNumberFormat="1" applyFont="1" applyFill="1" applyBorder="1" applyAlignment="1">
      <alignment horizontal="center" vertical="center" readingOrder="2"/>
    </xf>
    <xf numFmtId="165" fontId="16" fillId="0" borderId="3" xfId="0" applyNumberFormat="1" applyFont="1" applyFill="1" applyBorder="1" applyAlignment="1">
      <alignment horizontal="center" vertical="center" readingOrder="2"/>
    </xf>
    <xf numFmtId="165" fontId="30" fillId="0" borderId="12" xfId="0" applyNumberFormat="1" applyFont="1" applyFill="1" applyBorder="1" applyAlignment="1">
      <alignment horizontal="center" vertical="center" readingOrder="2"/>
    </xf>
    <xf numFmtId="165" fontId="30" fillId="0" borderId="9" xfId="0" applyNumberFormat="1" applyFont="1" applyFill="1" applyBorder="1" applyAlignment="1">
      <alignment horizontal="center" vertical="center" readingOrder="2"/>
    </xf>
    <xf numFmtId="165" fontId="30" fillId="0" borderId="2" xfId="0" applyNumberFormat="1" applyFont="1" applyFill="1" applyBorder="1" applyAlignment="1">
      <alignment horizontal="center" vertical="center" readingOrder="2"/>
    </xf>
    <xf numFmtId="165" fontId="30" fillId="0" borderId="3" xfId="0" applyNumberFormat="1" applyFont="1" applyFill="1" applyBorder="1" applyAlignment="1">
      <alignment horizontal="center" vertical="center" readingOrder="2"/>
    </xf>
    <xf numFmtId="0" fontId="17" fillId="0" borderId="0" xfId="0" applyFont="1" applyBorder="1" applyAlignment="1">
      <alignment horizontal="center" wrapText="1" readingOrder="2"/>
    </xf>
  </cellXfs>
  <cellStyles count="23"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  <cellStyle name="إخراج" xfId="15" builtinId="21" customBuiltin="1"/>
    <cellStyle name="إدخال" xfId="14" builtinId="20" customBuiltin="1"/>
    <cellStyle name="الإجمالي" xfId="22" builtinId="25" customBuiltin="1"/>
    <cellStyle name="جيد" xfId="11" builtinId="26" customBuiltin="1"/>
    <cellStyle name="حساب" xfId="16" builtinId="22" customBuiltin="1"/>
    <cellStyle name="خلية تدقيق" xfId="18" builtinId="23" customBuiltin="1"/>
    <cellStyle name="خلية مرتبطة" xfId="17" builtinId="24" customBuiltin="1"/>
    <cellStyle name="سيئ" xfId="12" builtinId="27" customBuiltin="1"/>
    <cellStyle name="عادي" xfId="0" builtinId="0" customBuiltin="1"/>
    <cellStyle name="عنوان" xfId="6" builtinId="15" customBuiltin="1"/>
    <cellStyle name="عنوان 1" xfId="7" builtinId="16" customBuiltin="1"/>
    <cellStyle name="عنوان 2" xfId="8" builtinId="17" customBuiltin="1"/>
    <cellStyle name="عنوان 3" xfId="9" builtinId="18" customBuiltin="1"/>
    <cellStyle name="عنوان 4" xfId="10" builtinId="19" customBuiltin="1"/>
    <cellStyle name="محايد" xfId="13" builtinId="28" customBuiltin="1"/>
    <cellStyle name="ملاحظة" xfId="20" builtinId="10" customBuiltin="1"/>
    <cellStyle name="نص تحذير" xfId="19" builtinId="11" customBuiltin="1"/>
    <cellStyle name="نص توضيحي" xfId="21" builtinId="53" customBuiltin="1"/>
  </cellStyles>
  <dxfs count="152">
    <dxf>
      <font>
        <b/>
        <strike val="0"/>
        <outline val="0"/>
        <shadow val="0"/>
        <u val="none"/>
        <vertAlign val="baseline"/>
        <color theme="3"/>
        <name val="Tahoma"/>
        <family val="2"/>
        <scheme val="none"/>
      </font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numFmt numFmtId="165" formatCode="&quot;ر.س.‏&quot;\ #,##0.00_-;[Red]&quot;ر.س.‏&quot;\ #,##0.00\-"/>
    </dxf>
    <dxf>
      <font>
        <b/>
        <strike val="0"/>
        <outline val="0"/>
        <shadow val="0"/>
        <u val="none"/>
        <vertAlign val="baseline"/>
        <color theme="3"/>
        <name val="Tahoma"/>
        <family val="2"/>
        <scheme val="none"/>
      </font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numFmt numFmtId="165" formatCode="&quot;ر.س.‏&quot;\ #,##0.00_-;[Red]&quot;ر.س.‏&quot;\ #,##0.00\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numFmt numFmtId="165" formatCode="&quot;ر.س.‏&quot;\ #,##0.00_-;[Red]&quot;ر.س.‏&quot;\ #,##0.00\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3646B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3646B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3646B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3646B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3646B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numFmt numFmtId="170" formatCode="&quot;$&quot;#,##0.00_);[Red]\(&quot;$&quot;#,##0.00\)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1"/>
        <name val="Tahoma"/>
        <family val="2"/>
        <scheme val="none"/>
      </font>
      <numFmt numFmtId="165" formatCode="&quot;ر.س.‏&quot;\ #,##0.00_-;[Red]&quot;ر.س.‏&quot;\ #,##0.00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left style="thin">
          <color theme="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2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top style="thin">
          <color theme="0"/>
        </top>
      </border>
    </dxf>
    <dxf>
      <font>
        <strike val="0"/>
        <outline val="0"/>
        <shadow val="0"/>
        <u val="none"/>
        <vertAlign val="baseline"/>
        <sz val="11"/>
        <color theme="3"/>
        <name val="Tahoma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Tahoma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strike val="0"/>
        <outline val="0"/>
        <shadow val="0"/>
        <u val="none"/>
        <vertAlign val="baseline"/>
        <sz val="9"/>
        <color rgb="FF818B8A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numFmt numFmtId="172" formatCode="&quot;$&quot;#,##0_);[Red]\(&quot;$&quot;#,##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b/>
        <strike val="0"/>
        <outline val="0"/>
        <shadow val="0"/>
        <u val="none"/>
        <vertAlign val="baseline"/>
        <sz val="9"/>
        <color rgb="FF818B8A"/>
        <name val="Tahoma"/>
        <family val="2"/>
        <scheme val="none"/>
      </font>
      <numFmt numFmtId="164" formatCode="&quot;ر.س.‏&quot;\ #,##0_-;[Red]&quot;ر.س.‏&quot;\ #,##0\-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numFmt numFmtId="172" formatCode="&quot;$&quot;#,##0_);[Red]\(&quot;$&quot;#,##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b/>
        <strike val="0"/>
        <outline val="0"/>
        <shadow val="0"/>
        <u val="none"/>
        <vertAlign val="baseline"/>
        <sz val="9"/>
        <color rgb="FF818B8A"/>
        <name val="Tahoma"/>
        <family val="2"/>
        <scheme val="none"/>
      </font>
      <numFmt numFmtId="164" formatCode="&quot;ر.س.‏&quot;\ #,##0_-;[Red]&quot;ر.س.‏&quot;\ #,##0\-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numFmt numFmtId="172" formatCode="&quot;$&quot;#,##0_);[Red]\(&quot;$&quot;#,##0\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</dxf>
    <dxf>
      <font>
        <b/>
        <strike val="0"/>
        <outline val="0"/>
        <shadow val="0"/>
        <u val="none"/>
        <vertAlign val="baseline"/>
        <sz val="9"/>
        <color rgb="FF818B8A"/>
        <name val="Tahoma"/>
        <family val="2"/>
        <scheme val="none"/>
      </font>
      <numFmt numFmtId="164" formatCode="&quot;ر.س.‏&quot;\ #,##0_-;[Red]&quot;ر.س.‏&quot;\ #,##0\-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2"/>
    </dxf>
    <dxf>
      <font>
        <strike val="0"/>
        <outline val="0"/>
        <shadow val="0"/>
        <u val="none"/>
        <vertAlign val="baseline"/>
        <name val="Tahoma"/>
        <family val="2"/>
        <scheme val="none"/>
      </font>
      <alignment horizontal="right" vertical="center" textRotation="0" wrapText="0" indent="1" justifyLastLine="0" shrinkToFit="0" readingOrder="2"/>
    </dxf>
    <dxf>
      <font>
        <b/>
        <strike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818B8A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17A1AB"/>
        <name val="Tahoma"/>
        <family val="2"/>
        <scheme val="none"/>
      </font>
      <fill>
        <patternFill patternType="solid">
          <fgColor indexed="64"/>
          <bgColor rgb="FF43646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theme="5" tint="0.79998168889431442"/>
          <bgColor theme="5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i val="0"/>
      </font>
      <fill>
        <patternFill patternType="none">
          <bgColor auto="1"/>
        </patternFill>
      </fill>
      <border>
        <top style="medium">
          <color theme="4"/>
        </top>
        <vertical/>
        <horizontal/>
      </border>
    </dxf>
    <dxf>
      <font>
        <b val="0"/>
        <i val="0"/>
        <color theme="0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medium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TableStyleMedium3 2" pivot="0" count="7" xr9:uid="{00000000-0011-0000-FFFF-FFFF00000000}">
      <tableStyleElement type="wholeTable" dxfId="151"/>
      <tableStyleElement type="headerRow" dxfId="150"/>
      <tableStyleElement type="totalRow" dxfId="149"/>
      <tableStyleElement type="firstColumn" dxfId="148"/>
      <tableStyleElement type="lastColumn" dxfId="147"/>
      <tableStyleElement type="firstRowStripe" dxfId="146"/>
      <tableStyleElement type="firstColumnStripe" dxfId="145"/>
    </tableStyle>
  </tableStyles>
  <colors>
    <mruColors>
      <color rgb="FF818B8A"/>
      <color rgb="FF17A1AB"/>
      <color rgb="FF43646B"/>
      <color rgb="FFF8F8F8"/>
      <color rgb="FF807E81"/>
      <color rgb="FF018B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ar-S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585028364866725"/>
          <c:y val="4.4788523412869236E-2"/>
          <c:w val="0.80609494072101495"/>
          <c:h val="0.9552114765871307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'موازنة حفل الزفاف'!$C$5</c:f>
              <c:strCache>
                <c:ptCount val="1"/>
                <c:pt idx="0">
                  <c:v>"التكلفة المقدرة"</c:v>
                </c:pt>
              </c:strCache>
            </c:strRef>
          </c:tx>
          <c:spPr>
            <a:solidFill>
              <a:srgbClr val="17A1AB"/>
            </a:solidFill>
            <a:ln w="41275">
              <a:solidFill>
                <a:srgbClr val="17A1AB"/>
              </a:solidFill>
            </a:ln>
            <a:effectLst/>
          </c:spPr>
          <c:invertIfNegative val="0"/>
          <c:cat>
            <c:strRef>
              <c:f>'موازنة حفل الزفاف'!$B$6:$B$15</c:f>
              <c:strCache>
                <c:ptCount val="10"/>
                <c:pt idx="0">
                  <c:v>الاستقبال</c:v>
                </c:pt>
                <c:pt idx="1">
                  <c:v>الملابس</c:v>
                </c:pt>
                <c:pt idx="2">
                  <c:v>الأزهار والزخرفة</c:v>
                </c:pt>
                <c:pt idx="3">
                  <c:v>الصور الفوتوغرافية والفيديو</c:v>
                </c:pt>
                <c:pt idx="4">
                  <c:v>الموسيقى</c:v>
                </c:pt>
                <c:pt idx="5">
                  <c:v>هدايا حفل الزواج والهدايا</c:v>
                </c:pt>
                <c:pt idx="6">
                  <c:v>خواتم الزواج</c:v>
                </c:pt>
                <c:pt idx="7">
                  <c:v>الحفل</c:v>
                </c:pt>
                <c:pt idx="8">
                  <c:v>الخطابات</c:v>
                </c:pt>
                <c:pt idx="9">
                  <c:v>وسائل النقل</c:v>
                </c:pt>
              </c:strCache>
            </c:strRef>
          </c:cat>
          <c:val>
            <c:numRef>
              <c:f>'موازنة حفل الزفاف'!$C$6:$C$15</c:f>
              <c:numCache>
                <c:formatCode>"ر.س.‏"\ #,##0_-;[Red]"ر.س.‏"\ #,##0\-</c:formatCode>
                <c:ptCount val="10"/>
                <c:pt idx="0">
                  <c:v>14500</c:v>
                </c:pt>
                <c:pt idx="1">
                  <c:v>4000</c:v>
                </c:pt>
                <c:pt idx="2">
                  <c:v>3000</c:v>
                </c:pt>
                <c:pt idx="3">
                  <c:v>2500</c:v>
                </c:pt>
                <c:pt idx="4">
                  <c:v>1800</c:v>
                </c:pt>
                <c:pt idx="5">
                  <c:v>1100</c:v>
                </c:pt>
                <c:pt idx="6">
                  <c:v>1100</c:v>
                </c:pt>
                <c:pt idx="7">
                  <c:v>800</c:v>
                </c:pt>
                <c:pt idx="8">
                  <c:v>500</c:v>
                </c:pt>
                <c:pt idx="9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F-4F3B-B7C9-B667BE6D5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34022976"/>
        <c:axId val="534026256"/>
      </c:barChart>
      <c:catAx>
        <c:axId val="534022976"/>
        <c:scaling>
          <c:orientation val="maxMin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818B8A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818B8A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ar-SA"/>
          </a:p>
        </c:txPr>
        <c:crossAx val="534026256"/>
        <c:crosses val="autoZero"/>
        <c:auto val="1"/>
        <c:lblAlgn val="ctr"/>
        <c:lblOffset val="100"/>
        <c:noMultiLvlLbl val="0"/>
      </c:catAx>
      <c:valAx>
        <c:axId val="534026256"/>
        <c:scaling>
          <c:orientation val="maxMin"/>
        </c:scaling>
        <c:delete val="1"/>
        <c:axPos val="t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ر.س.‏&quot;\ #,##0_-;[Red]&quot;ر.س.‏&quot;\ #,##0\-" sourceLinked="1"/>
        <c:majorTickMark val="none"/>
        <c:minorTickMark val="none"/>
        <c:tickLblPos val="nextTo"/>
        <c:crossAx val="53402297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  <a:endParaRPr lang="ar-SA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206828</xdr:colOff>
      <xdr:row>2</xdr:row>
      <xdr:rowOff>15240</xdr:rowOff>
    </xdr:from>
    <xdr:to>
      <xdr:col>5</xdr:col>
      <xdr:colOff>1155246</xdr:colOff>
      <xdr:row>2</xdr:row>
      <xdr:rowOff>2795997</xdr:rowOff>
    </xdr:to>
    <xdr:graphicFrame macro="">
      <xdr:nvGraphicFramePr>
        <xdr:cNvPr id="2" name="المخطط 1" descr="مخطط يلخص ميزانية الزفاف حسب الفئة. يتم عرض مصروفات الفئة بترتيب تنازلي بناءً على التكاليف المقدرة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5</xdr:col>
      <xdr:colOff>1138759</xdr:colOff>
      <xdr:row>1</xdr:row>
      <xdr:rowOff>45720</xdr:rowOff>
    </xdr:to>
    <xdr:pic>
      <xdr:nvPicPr>
        <xdr:cNvPr id="5" name="الصورة 4">
          <a:extLst>
            <a:ext uri="{FF2B5EF4-FFF2-40B4-BE49-F238E27FC236}">
              <a16:creationId xmlns:a16="http://schemas.microsoft.com/office/drawing/2014/main" id="{C5020B3B-CC06-49E7-A495-CDA4280648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 flipH="1">
          <a:off x="228600" y="0"/>
          <a:ext cx="8339659" cy="9601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ملخص_TBL" displayName="ملخص_TBL" ref="B5:F16" totalsRowCount="1" headerRowDxfId="144" dataDxfId="143" totalsRowDxfId="142">
  <tableColumns count="5">
    <tableColumn id="1" xr3:uid="{00000000-0010-0000-0000-000001000000}" name="الفئة" totalsRowLabel="الإجمالي" dataDxfId="141" totalsRowDxfId="140"/>
    <tableColumn id="2" xr3:uid="{00000000-0010-0000-0000-000002000000}" name="&quot;التكلفة المقدرة&quot;" totalsRowFunction="sum" dataDxfId="139" totalsRowDxfId="138">
      <calculatedColumnFormula>VLOOKUP(ملخص_TBL[[#This Row],[الفئة]],TBL_RankingData,2,FALSE)</calculatedColumnFormula>
    </tableColumn>
    <tableColumn id="3" xr3:uid="{00000000-0010-0000-0000-000003000000}" name="التكلفة الفعلية" totalsRowFunction="sum" dataDxfId="137" totalsRowDxfId="136">
      <calculatedColumnFormula>IF(VLOOKUP(ملخص_TBL[[#This Row],[الفئة]],TBL_RankingData,3,FALSE)=0,"",VLOOKUP(ملخص_TBL[[#This Row],[الفئة]],TBL_RankingData,3,FALSE))</calculatedColumnFormula>
    </tableColumn>
    <tableColumn id="4" xr3:uid="{00000000-0010-0000-0000-000004000000}" name="نسبة الفرق" totalsRowFunction="custom" dataDxfId="135" totalsRowDxfId="134">
      <calculatedColumnFormula>IF(OR(ملخص_TBL[[#This Row],["التكلفة المقدرة"]]="",ملخص_TBL[[#This Row],[التكلفة الفعلية]]=""),"",ملخص_TBL[[#This Row],["التكلفة المقدرة"]]-ملخص_TBL[[#This Row],[التكلفة الفعلية]])</calculatedColumnFormula>
      <totalsRowFormula>ملخص_TBL[[#Totals],["التكلفة المقدرة"]]-ملخص_TBL[[#Totals],[التكلفة الفعلية]]</totalsRowFormula>
    </tableColumn>
    <tableColumn id="5" xr3:uid="{00000000-0010-0000-0000-000005000000}" name="الميزانية %" totalsRowFunction="sum" dataDxfId="133" totalsRowDxfId="13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جدول يحتوي على ملخص الميزانية حسب فئة المصاريف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L_Reception" displayName="TBL_Reception" ref="B4:E10" totalsRowCount="1" headerRowDxfId="131" dataDxfId="129" totalsRowDxfId="127" headerRowBorderDxfId="130" tableBorderDxfId="128" totalsRowBorderDxfId="126">
  <tableColumns count="4">
    <tableColumn id="1" xr3:uid="{00000000-0010-0000-0100-000001000000}" name="الاستقبال" totalsRowLabel="إجمالي حفل الاستقبال" dataDxfId="125" totalsRowDxfId="124"/>
    <tableColumn id="2" xr3:uid="{00000000-0010-0000-0100-000002000000}" name="مُقدر" totalsRowFunction="sum" dataDxfId="123" totalsRowDxfId="122"/>
    <tableColumn id="3" xr3:uid="{00000000-0010-0000-0100-000003000000}" name="الفعلي" totalsRowFunction="sum" dataDxfId="121" totalsRowDxfId="120"/>
    <tableColumn id="4" xr3:uid="{00000000-0010-0000-0100-000004000000}" name="نسبة الفرق" totalsRowFunction="custom" dataDxfId="119" totalsRowDxfId="118">
      <calculatedColumnFormula>IF(OR(TBL_Reception[[#This Row],[مُقدر]]="",TBL_Reception[[#This Row],[الفعلي]]=""),"",TBL_Reception[[#This Row],[مُقدر]]-TBL_Reception[[#This Row],[الفعلي]])</calculatedColumnFormula>
      <totalsRowFormula>TBL_Reception[[#Totals],[مُقدر]]-TBL_Reception[[#Totals],[الفعلي]]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استقبال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BL_Attire" displayName="TBL_Attire" ref="B13:E20" totalsRowCount="1" headerRowDxfId="117" dataDxfId="115" totalsRowDxfId="113" headerRowBorderDxfId="116" tableBorderDxfId="114" totalsRowBorderDxfId="112">
  <tableColumns count="4">
    <tableColumn id="1" xr3:uid="{00000000-0010-0000-0200-000001000000}" name="الملابس" totalsRowLabel="مجموع ATTIRE" dataDxfId="111" totalsRowDxfId="110"/>
    <tableColumn id="2" xr3:uid="{00000000-0010-0000-0200-000002000000}" name="المُقدر" totalsRowFunction="sum" dataDxfId="109" totalsRowDxfId="108"/>
    <tableColumn id="3" xr3:uid="{00000000-0010-0000-0200-000003000000}" name="الفعلي" totalsRowFunction="sum" dataDxfId="107" totalsRowDxfId="106"/>
    <tableColumn id="4" xr3:uid="{00000000-0010-0000-0200-000004000000}" name="نسبة الفرق" totalsRowFunction="custom" dataDxfId="105" totalsRowDxfId="104">
      <totalsRowFormula>TBL_Attire[[#Totals],[المُقدر]]-TBL_Attire[[#Totals],[الفعلي]]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زي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BL_FlowersAndDecor" displayName="TBL_FlowersAndDecor" ref="B23:E33" totalsRowCount="1" headerRowDxfId="103" dataDxfId="101" totalsRowDxfId="100" headerRowBorderDxfId="102" totalsRowBorderDxfId="99">
  <tableColumns count="4">
    <tableColumn id="1" xr3:uid="{00000000-0010-0000-0300-000001000000}" name="الأزهار والزخرفة" totalsRowLabel="مجمموع الزهور والديكورات" dataDxfId="98" totalsRowDxfId="97"/>
    <tableColumn id="2" xr3:uid="{00000000-0010-0000-0300-000002000000}" name="المُقدر" totalsRowFunction="sum" dataDxfId="96" totalsRowDxfId="95"/>
    <tableColumn id="3" xr3:uid="{00000000-0010-0000-0300-000003000000}" name="الفعلي" totalsRowFunction="sum" dataDxfId="94" totalsRowDxfId="93"/>
    <tableColumn id="4" xr3:uid="{00000000-0010-0000-0300-000004000000}" name="نسبة الفرق" totalsRowFunction="custom" dataDxfId="92" totalsRowDxfId="91">
      <totalsRowFormula>TBL_FlowersAndDecor[[#Totals],[المُقدر]]-TBL_FlowersAndDecor[[#Totals],[الفعلي]]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زهور والديكورات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BL_Music" displayName="TBL_Music" ref="B36:E42" totalsRowCount="1" headerRowDxfId="90" dataDxfId="88" totalsRowDxfId="87" headerRowBorderDxfId="89" totalsRowBorderDxfId="86">
  <tableColumns count="4">
    <tableColumn id="1" xr3:uid="{00000000-0010-0000-0400-000001000000}" name="الموسيقى" totalsRowLabel="إجمالي الموسيقي" dataDxfId="85" totalsRowDxfId="84"/>
    <tableColumn id="2" xr3:uid="{00000000-0010-0000-0400-000002000000}" name="المُقدر" totalsRowFunction="sum" dataDxfId="83" totalsRowDxfId="82"/>
    <tableColumn id="3" xr3:uid="{00000000-0010-0000-0400-000003000000}" name="الفعلي" totalsRowFunction="sum" dataDxfId="81" totalsRowDxfId="80"/>
    <tableColumn id="4" xr3:uid="{00000000-0010-0000-0400-000004000000}" name="نسبة الفرق" totalsRowFunction="custom" dataDxfId="79" totalsRowDxfId="78">
      <totalsRowFormula>TBL_Music[[#Totals],[المُقدر]]-TBL_Music[[#Totals],[الفعلي]]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موسيقى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BL_PhotographsAndVideo" displayName="TBL_PhotographsAndVideo" ref="B45:E50" totalsRowCount="1" headerRowDxfId="77" dataDxfId="75" totalsRowDxfId="74" headerRowBorderDxfId="76" totalsRowBorderDxfId="73">
  <tableColumns count="4">
    <tableColumn id="1" xr3:uid="{00000000-0010-0000-0500-000001000000}" name="التصوير الفوتوغرافي والفيديو" totalsRowLabel="إجمالي التصوير والفيديو" dataDxfId="72" totalsRowDxfId="71"/>
    <tableColumn id="2" xr3:uid="{00000000-0010-0000-0500-000002000000}" name="المُقدر" totalsRowFunction="sum" dataDxfId="70" totalsRowDxfId="69"/>
    <tableColumn id="3" xr3:uid="{00000000-0010-0000-0500-000003000000}" name="الفعلي" totalsRowFunction="sum" dataDxfId="68" totalsRowDxfId="67"/>
    <tableColumn id="4" xr3:uid="{00000000-0010-0000-0500-000004000000}" name="نسبة الفرق" totalsRowFunction="custom" dataDxfId="66" totalsRowDxfId="65">
      <totalsRowFormula>TBL_PhotographsAndVideo[[#Totals],[المُقدر]]-TBL_PhotographsAndVideo[[#Totals],[الفعلي]]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صور الفوتوغرافية والفيديو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BL_FavorsAndGifts" displayName="TBL_FavorsAndGifts" ref="B53:E57" totalsRowCount="1" headerRowDxfId="64" dataDxfId="62" totalsRowDxfId="61" headerRowBorderDxfId="63" totalsRowBorderDxfId="60">
  <tableColumns count="4">
    <tableColumn id="1" xr3:uid="{00000000-0010-0000-0600-000001000000}" name="المنح والهدايا" totalsRowLabel="إجمالي الهدايا" dataDxfId="59" totalsRowDxfId="58"/>
    <tableColumn id="2" xr3:uid="{00000000-0010-0000-0600-000002000000}" name="المُقدر" totalsRowFunction="sum" dataDxfId="57" totalsRowDxfId="56"/>
    <tableColumn id="3" xr3:uid="{00000000-0010-0000-0600-000003000000}" name="الفعلي" totalsRowFunction="sum" dataDxfId="55" totalsRowDxfId="54"/>
    <tableColumn id="4" xr3:uid="{00000000-0010-0000-0600-000004000000}" name="نسبة الفرق" totalsRowFunction="custom" dataDxfId="53" totalsRowDxfId="52">
      <totalsRowFormula>TBL_FavorsAndGifts[[#Totals],[المُقدر]]-TBL_FavorsAndGifts[[#Totals],[الفعلي]]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خدمات والهدايا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BL_Ceremony" displayName="TBL_Ceremony" ref="B60:E64" totalsRowCount="1" headerRowDxfId="51" dataDxfId="49" totalsRowDxfId="48" headerRowBorderDxfId="50" totalsRowBorderDxfId="47">
  <tableColumns count="4">
    <tableColumn id="1" xr3:uid="{00000000-0010-0000-0700-000001000000}" name="الحفل" totalsRowLabel="مجموع الحفل" dataDxfId="46" totalsRowDxfId="45"/>
    <tableColumn id="2" xr3:uid="{00000000-0010-0000-0700-000002000000}" name="المُقدر" totalsRowFunction="sum" dataDxfId="44" totalsRowDxfId="43"/>
    <tableColumn id="3" xr3:uid="{00000000-0010-0000-0700-000003000000}" name="الفعلي" totalsRowFunction="sum" dataDxfId="42" totalsRowDxfId="41"/>
    <tableColumn id="4" xr3:uid="{00000000-0010-0000-0700-000004000000}" name="نسبة الفرق" totalsRowFunction="custom" dataDxfId="40" totalsRowDxfId="39">
      <totalsRowFormula>TBL_Ceremony[[#Totals],[المُقدر]]-TBL_Ceremony[[#Totals],[الفعلي]]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حفل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BL_Stationery" displayName="TBL_Stationery" ref="B67:E76" totalsRowCount="1" headerRowDxfId="38" dataDxfId="36" totalsRowDxfId="35" headerRowBorderDxfId="37" totalsRowBorderDxfId="34">
  <tableColumns count="4">
    <tableColumn id="1" xr3:uid="{00000000-0010-0000-0800-000001000000}" name="ثابت" totalsRowLabel="المجموع الكلي للقرطاسية" dataDxfId="33" totalsRowDxfId="32"/>
    <tableColumn id="2" xr3:uid="{00000000-0010-0000-0800-000002000000}" name="المُقدر" totalsRowFunction="sum" dataDxfId="31" totalsRowDxfId="30"/>
    <tableColumn id="3" xr3:uid="{00000000-0010-0000-0800-000003000000}" name="الفعلي" totalsRowFunction="sum" dataDxfId="29" totalsRowDxfId="28"/>
    <tableColumn id="4" xr3:uid="{00000000-0010-0000-0800-000004000000}" name="نسبة الفرق" totalsRowFunction="custom" dataDxfId="27" totalsRowDxfId="26">
      <totalsRowFormula>TBL_Stationery[[#Totals],[المُقدر]]-TBL_Stationery[[#Totals],[الفعلي]]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حتوي على التكاليف المتعلقة بالقرطاسية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BL_WeddingRings" displayName="TBL_WeddingRings" ref="B79:E82" totalsRowCount="1" headerRowDxfId="25" dataDxfId="23" totalsRowDxfId="22" headerRowBorderDxfId="24" totalsRowBorderDxfId="21">
  <tableColumns count="4">
    <tableColumn id="1" xr3:uid="{00000000-0010-0000-0900-000001000000}" name="خواتم الزواج" totalsRowLabel="مجموع خواتم الزفاف" dataDxfId="20" totalsRowDxfId="19"/>
    <tableColumn id="2" xr3:uid="{00000000-0010-0000-0900-000002000000}" name="المُقدر" totalsRowFunction="sum" dataDxfId="18" totalsRowDxfId="17"/>
    <tableColumn id="3" xr3:uid="{00000000-0010-0000-0900-000003000000}" name="الفعلي" totalsRowFunction="sum" dataDxfId="16" totalsRowDxfId="15"/>
    <tableColumn id="4" xr3:uid="{00000000-0010-0000-0900-000004000000}" name="نسبة الفرق" totalsRowFunction="custom" dataDxfId="14" totalsRowDxfId="13">
      <totalsRowFormula>TBL_WeddingRings[[#Totals],[المُقدر]]-TBL_WeddingRings[[#Totals],[الفعلي]]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شتمل علي التكاليف المتعلقة بحلقات زفاف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BL_Transportation" displayName="TBL_Transportation" ref="B85:E91" totalsRowCount="1" headerRowDxfId="12" dataDxfId="10" totalsRowDxfId="9" headerRowBorderDxfId="11" totalsRowBorderDxfId="8">
  <autoFilter ref="B85:E90" xr:uid="{1874CCD5-90DA-4D63-B97F-603C66F43EBF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A00-000001000000}" name="وسيلة النقل  " totalsRowLabel="إجمالي النقل" dataDxfId="7" totalsRowDxfId="6"/>
    <tableColumn id="2" xr3:uid="{00000000-0010-0000-0A00-000002000000}" name="المُقدر" totalsRowFunction="sum" dataDxfId="5" totalsRowDxfId="4"/>
    <tableColumn id="3" xr3:uid="{00000000-0010-0000-0A00-000003000000}" name="الفعلي" totalsRowFunction="sum" dataDxfId="3" totalsRowDxfId="2"/>
    <tableColumn id="4" xr3:uid="{00000000-0010-0000-0A00-000004000000}" name="نسبة الفرق" totalsRowFunction="custom" dataDxfId="1" totalsRowDxfId="0">
      <totalsRowFormula>TBL_Transportation[[#Totals],[المُقدر]]-TBL_Transportation[[#Totals],[الفعلي]]</totalsRowFormula>
    </tableColumn>
  </tableColumns>
  <tableStyleInfo name="TableStyleMedium3 2" showFirstColumn="0" showLastColumn="0" showRowStripes="0" showColumnStripes="0"/>
  <extLst>
    <ext xmlns:x14="http://schemas.microsoft.com/office/spreadsheetml/2009/9/main" uri="{504A1905-F514-4f6f-8877-14C23A59335A}">
      <x14:table altTextSummary="جدول يشتمل علي التكاليف المتعلقة بالنقل"/>
    </ext>
  </extLst>
</table>
</file>

<file path=xl/theme/theme1.xml><?xml version="1.0" encoding="utf-8"?>
<a:theme xmlns:a="http://schemas.openxmlformats.org/drawingml/2006/main" name="Water Color Wash">
  <a:themeElements>
    <a:clrScheme name="Watercolor Wedding">
      <a:dk1>
        <a:srgbClr val="818B8A"/>
      </a:dk1>
      <a:lt1>
        <a:srgbClr val="FFFFFF"/>
      </a:lt1>
      <a:dk2>
        <a:srgbClr val="17A1AB"/>
      </a:dk2>
      <a:lt2>
        <a:srgbClr val="D6D5D5"/>
      </a:lt2>
      <a:accent1>
        <a:srgbClr val="0C4A80"/>
      </a:accent1>
      <a:accent2>
        <a:srgbClr val="0D6397"/>
      </a:accent2>
      <a:accent3>
        <a:srgbClr val="1E83A9"/>
      </a:accent3>
      <a:accent4>
        <a:srgbClr val="478FB1"/>
      </a:accent4>
      <a:accent5>
        <a:srgbClr val="8CB8D1"/>
      </a:accent5>
      <a:accent6>
        <a:srgbClr val="C9E6F1"/>
      </a:accent6>
      <a:hlink>
        <a:srgbClr val="0000FF"/>
      </a:hlink>
      <a:folHlink>
        <a:srgbClr val="FF00FF"/>
      </a:folHlink>
    </a:clrScheme>
    <a:fontScheme name="_Water color Wash 2">
      <a:majorFont>
        <a:latin typeface="Franklin Gothic Medium Cond"/>
        <a:ea typeface="Gill Sans"/>
        <a:cs typeface="Gill Sans"/>
      </a:majorFont>
      <a:minorFont>
        <a:latin typeface="Franklin Gothic Book"/>
        <a:ea typeface="Gill Sans"/>
        <a:cs typeface="Gill Sans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Watercolor 1" id="{8A5BE941-2D50-7147-A6D2-425273CFF5A9}" vid="{4F5C25E9-A4BC-F745-AAFC-F933520838C1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4"/>
  <sheetViews>
    <sheetView showGridLines="0" rightToLeft="1" tabSelected="1" topLeftCell="A4" zoomScale="85" zoomScaleNormal="85" workbookViewId="0">
      <selection activeCell="B2" sqref="B2:F2"/>
    </sheetView>
  </sheetViews>
  <sheetFormatPr defaultColWidth="8.69921875" defaultRowHeight="21" customHeight="1" x14ac:dyDescent="0.25"/>
  <cols>
    <col min="1" max="1" width="2.59765625" style="6" customWidth="1"/>
    <col min="2" max="2" width="27.19921875" style="33" customWidth="1"/>
    <col min="3" max="3" width="20.19921875" style="6" bestFit="1" customWidth="1"/>
    <col min="4" max="6" width="17.59765625" style="6" customWidth="1"/>
    <col min="7" max="7" width="1.5" style="6" customWidth="1"/>
    <col min="8" max="9" width="8.69921875" style="6" customWidth="1"/>
    <col min="10" max="10" width="21.69921875" style="31" hidden="1" customWidth="1"/>
    <col min="11" max="11" width="15.5" style="31" hidden="1" customWidth="1"/>
    <col min="12" max="12" width="12.69921875" style="31" hidden="1" customWidth="1"/>
    <col min="13" max="13" width="24.19921875" style="6" hidden="1" customWidth="1"/>
    <col min="14" max="15" width="10.5" style="6" hidden="1" customWidth="1"/>
    <col min="16" max="16" width="21.69921875" style="31" hidden="1" customWidth="1"/>
    <col min="17" max="16384" width="8.69921875" style="6"/>
  </cols>
  <sheetData>
    <row r="1" spans="1:17" ht="72.599999999999994" customHeight="1" x14ac:dyDescent="0.25">
      <c r="A1" s="1"/>
      <c r="B1" s="2"/>
      <c r="C1" s="1"/>
      <c r="D1" s="1"/>
      <c r="E1" s="1"/>
      <c r="F1" s="1"/>
      <c r="G1" s="3" t="s">
        <v>6</v>
      </c>
      <c r="H1" s="4"/>
      <c r="I1" s="4"/>
      <c r="J1" s="5"/>
      <c r="K1" s="5"/>
      <c r="L1" s="5"/>
      <c r="M1" s="4"/>
      <c r="N1" s="4"/>
      <c r="O1" s="4"/>
      <c r="P1" s="5"/>
    </row>
    <row r="2" spans="1:17" s="10" customFormat="1" ht="82.5" customHeight="1" x14ac:dyDescent="0.6">
      <c r="A2" s="7"/>
      <c r="B2" s="76" t="s">
        <v>83</v>
      </c>
      <c r="C2" s="76"/>
      <c r="D2" s="76"/>
      <c r="E2" s="76"/>
      <c r="F2" s="76"/>
      <c r="G2" s="7"/>
      <c r="H2" s="8"/>
      <c r="I2" s="8"/>
      <c r="J2" s="9"/>
      <c r="K2" s="9"/>
      <c r="L2" s="9"/>
      <c r="M2" s="8"/>
      <c r="N2" s="8"/>
      <c r="O2" s="8"/>
      <c r="P2" s="9"/>
    </row>
    <row r="3" spans="1:17" ht="220.2" customHeight="1" x14ac:dyDescent="0.25">
      <c r="A3" s="1"/>
      <c r="B3" s="11"/>
      <c r="C3" s="1"/>
      <c r="D3" s="1"/>
      <c r="E3" s="1"/>
      <c r="F3" s="1"/>
      <c r="G3" s="12"/>
      <c r="H3" s="13" t="s">
        <v>6</v>
      </c>
      <c r="I3" s="4"/>
      <c r="J3" s="5"/>
      <c r="K3" s="5"/>
      <c r="L3" s="5"/>
      <c r="M3" s="4"/>
      <c r="N3" s="4"/>
      <c r="O3" s="4"/>
      <c r="P3" s="5"/>
      <c r="Q3" s="14"/>
    </row>
    <row r="4" spans="1:17" ht="15" customHeight="1" x14ac:dyDescent="0.25">
      <c r="A4" s="1"/>
      <c r="B4" s="15"/>
      <c r="C4" s="16"/>
      <c r="D4" s="16"/>
      <c r="E4" s="16"/>
      <c r="F4" s="16"/>
      <c r="G4" s="12"/>
      <c r="H4" s="4"/>
      <c r="I4" s="4"/>
      <c r="J4" s="5"/>
      <c r="K4" s="5"/>
      <c r="L4" s="5"/>
      <c r="M4" s="4"/>
      <c r="N4" s="4"/>
      <c r="O4" s="4"/>
      <c r="P4" s="5"/>
    </row>
    <row r="5" spans="1:17" ht="34.950000000000003" customHeight="1" x14ac:dyDescent="0.25">
      <c r="A5" s="1"/>
      <c r="B5" s="17" t="s">
        <v>0</v>
      </c>
      <c r="C5" s="18" t="s">
        <v>2</v>
      </c>
      <c r="D5" s="18" t="s">
        <v>3</v>
      </c>
      <c r="E5" s="18" t="s">
        <v>4</v>
      </c>
      <c r="F5" s="18" t="s">
        <v>5</v>
      </c>
      <c r="G5" s="4"/>
      <c r="H5" s="4"/>
      <c r="I5" s="4"/>
      <c r="J5" s="5" t="s">
        <v>7</v>
      </c>
      <c r="K5" s="4" t="s">
        <v>18</v>
      </c>
      <c r="L5" s="4" t="s">
        <v>19</v>
      </c>
      <c r="M5" s="19" t="s">
        <v>20</v>
      </c>
      <c r="N5" s="4" t="s">
        <v>21</v>
      </c>
      <c r="O5" s="4" t="s">
        <v>22</v>
      </c>
      <c r="P5" s="5" t="s">
        <v>23</v>
      </c>
    </row>
    <row r="6" spans="1:17" ht="19.95" customHeight="1" x14ac:dyDescent="0.25">
      <c r="A6" s="1"/>
      <c r="B6" s="20" t="str">
        <f>P6</f>
        <v>الاستقبال</v>
      </c>
      <c r="C6" s="66">
        <f>VLOOKUP(ملخص_TBL[[#This Row],[الفئة]],TBL_RankingData,2,FALSE)</f>
        <v>14500</v>
      </c>
      <c r="D6" s="66">
        <f>IF(VLOOKUP(ملخص_TBL[[#This Row],[الفئة]],TBL_RankingData,3,FALSE)=0,"",VLOOKUP(ملخص_TBL[[#This Row],[الفئة]],TBL_RankingData,3,FALSE))</f>
        <v>12800</v>
      </c>
      <c r="E6" s="66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>1700</v>
      </c>
      <c r="F6" s="21">
        <f>ملخص_TBL[[#This Row],["التكلفة المقدرة"]]/SUM(ملخص_TBL["التكلفة المقدرة"])</f>
        <v>0.48739495798319327</v>
      </c>
      <c r="G6" s="4"/>
      <c r="H6" s="4"/>
      <c r="I6" s="4"/>
      <c r="J6" s="5" t="s">
        <v>8</v>
      </c>
      <c r="K6" s="68">
        <f>TBL_Reception[[#Totals],[مُقدر]]</f>
        <v>14500</v>
      </c>
      <c r="L6" s="4">
        <f>TBL_Reception[[#Totals],[الفعلي]]</f>
        <v>12800</v>
      </c>
      <c r="M6" s="4">
        <f>K6-O6/100</f>
        <v>14499.99</v>
      </c>
      <c r="N6" s="4">
        <f t="shared" ref="N6:N15" si="0">_xlfn.RANK.AVG(M6,$M$6:$M$15)</f>
        <v>1</v>
      </c>
      <c r="O6" s="4">
        <v>1</v>
      </c>
      <c r="P6" s="5" t="str">
        <f t="shared" ref="P6:P15" si="1">INDEX(TBL_RankingData,MATCH(O6,$N$6:$N$15,0),1)</f>
        <v>الاستقبال</v>
      </c>
    </row>
    <row r="7" spans="1:17" ht="19.95" customHeight="1" x14ac:dyDescent="0.25">
      <c r="A7" s="1"/>
      <c r="B7" s="20" t="str">
        <f t="shared" ref="B7:B15" si="2">P7</f>
        <v>الملابس</v>
      </c>
      <c r="C7" s="66">
        <f>VLOOKUP(ملخص_TBL[[#This Row],[الفئة]],TBL_RankingData,2,FALSE)</f>
        <v>4000</v>
      </c>
      <c r="D7" s="66">
        <f>IF(VLOOKUP(ملخص_TBL[[#This Row],[الفئة]],TBL_RankingData,3,FALSE)=0,"",VLOOKUP(ملخص_TBL[[#This Row],[الفئة]],TBL_RankingData,3,FALSE))</f>
        <v>2900</v>
      </c>
      <c r="E7" s="66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>1100</v>
      </c>
      <c r="F7" s="21">
        <f>ملخص_TBL[[#This Row],["التكلفة المقدرة"]]/SUM(ملخص_TBL["التكلفة المقدرة"])</f>
        <v>0.13445378151260504</v>
      </c>
      <c r="G7" s="4"/>
      <c r="H7" s="4"/>
      <c r="I7" s="4"/>
      <c r="J7" s="5" t="s">
        <v>9</v>
      </c>
      <c r="K7" s="4">
        <f>TBL_Attire[[#Totals],[المُقدر]]</f>
        <v>4000</v>
      </c>
      <c r="L7" s="4">
        <f>TBL_Attire[[#Totals],[الفعلي]]</f>
        <v>2900</v>
      </c>
      <c r="M7" s="4">
        <f t="shared" ref="M7:M15" si="3">K7-O7/100</f>
        <v>3999.98</v>
      </c>
      <c r="N7" s="4">
        <f t="shared" si="0"/>
        <v>2</v>
      </c>
      <c r="O7" s="4">
        <v>2</v>
      </c>
      <c r="P7" s="5" t="str">
        <f t="shared" si="1"/>
        <v>الملابس</v>
      </c>
    </row>
    <row r="8" spans="1:17" ht="19.95" customHeight="1" x14ac:dyDescent="0.25">
      <c r="A8" s="1"/>
      <c r="B8" s="20" t="str">
        <f t="shared" si="2"/>
        <v>الأزهار والزخرفة</v>
      </c>
      <c r="C8" s="66">
        <f>VLOOKUP(ملخص_TBL[[#This Row],[الفئة]],TBL_RankingData,2,FALSE)</f>
        <v>3000</v>
      </c>
      <c r="D8" s="66" t="str">
        <f>IF(VLOOKUP(ملخص_TBL[[#This Row],[الفئة]],TBL_RankingData,3,FALSE)=0,"",VLOOKUP(ملخص_TBL[[#This Row],[الفئة]],TBL_RankingData,3,FALSE))</f>
        <v/>
      </c>
      <c r="E8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8" s="21">
        <f>ملخص_TBL[[#This Row],["التكلفة المقدرة"]]/SUM(ملخص_TBL["التكلفة المقدرة"])</f>
        <v>0.10084033613445378</v>
      </c>
      <c r="G8" s="4"/>
      <c r="H8" s="4"/>
      <c r="I8" s="4"/>
      <c r="J8" s="5" t="s">
        <v>10</v>
      </c>
      <c r="K8" s="4">
        <f>TBL_FlowersAndDecor[[#Totals],[المُقدر]]</f>
        <v>3000</v>
      </c>
      <c r="L8" s="4">
        <f>TBL_FlowersAndDecor[[#Totals],[الفعلي]]</f>
        <v>0</v>
      </c>
      <c r="M8" s="4">
        <f t="shared" si="3"/>
        <v>2999.97</v>
      </c>
      <c r="N8" s="4">
        <f t="shared" si="0"/>
        <v>3</v>
      </c>
      <c r="O8" s="4">
        <v>3</v>
      </c>
      <c r="P8" s="5" t="str">
        <f t="shared" si="1"/>
        <v>الأزهار والزخرفة</v>
      </c>
    </row>
    <row r="9" spans="1:17" ht="19.95" customHeight="1" x14ac:dyDescent="0.25">
      <c r="A9" s="1"/>
      <c r="B9" s="20" t="str">
        <f t="shared" si="2"/>
        <v>الصور الفوتوغرافية والفيديو</v>
      </c>
      <c r="C9" s="66">
        <f>VLOOKUP(ملخص_TBL[[#This Row],[الفئة]],TBL_RankingData,2,FALSE)</f>
        <v>2500</v>
      </c>
      <c r="D9" s="66" t="str">
        <f>IF(VLOOKUP(ملخص_TBL[[#This Row],[الفئة]],TBL_RankingData,3,FALSE)=0,"",VLOOKUP(ملخص_TBL[[#This Row],[الفئة]],TBL_RankingData,3,FALSE))</f>
        <v/>
      </c>
      <c r="E9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9" s="21">
        <f>ملخص_TBL[[#This Row],["التكلفة المقدرة"]]/SUM(ملخص_TBL["التكلفة المقدرة"])</f>
        <v>8.4033613445378158E-2</v>
      </c>
      <c r="G9" s="4"/>
      <c r="H9" s="4"/>
      <c r="I9" s="4"/>
      <c r="J9" s="5" t="s">
        <v>11</v>
      </c>
      <c r="K9" s="4">
        <f>TBL_Music[[#Totals],[المُقدر]]</f>
        <v>1800</v>
      </c>
      <c r="L9" s="4">
        <f>TBL_Music[[#Totals],[الفعلي]]</f>
        <v>0</v>
      </c>
      <c r="M9" s="4">
        <f t="shared" si="3"/>
        <v>1799.96</v>
      </c>
      <c r="N9" s="4">
        <f t="shared" si="0"/>
        <v>5</v>
      </c>
      <c r="O9" s="4">
        <v>4</v>
      </c>
      <c r="P9" s="5" t="str">
        <f t="shared" si="1"/>
        <v>الصور الفوتوغرافية والفيديو</v>
      </c>
    </row>
    <row r="10" spans="1:17" ht="19.95" customHeight="1" x14ac:dyDescent="0.25">
      <c r="A10" s="1"/>
      <c r="B10" s="20" t="str">
        <f t="shared" si="2"/>
        <v>الموسيقى</v>
      </c>
      <c r="C10" s="66">
        <f>VLOOKUP(ملخص_TBL[[#This Row],[الفئة]],TBL_RankingData,2,FALSE)</f>
        <v>1800</v>
      </c>
      <c r="D10" s="66" t="str">
        <f>IF(VLOOKUP(ملخص_TBL[[#This Row],[الفئة]],TBL_RankingData,3,FALSE)=0,"",VLOOKUP(ملخص_TBL[[#This Row],[الفئة]],TBL_RankingData,3,FALSE))</f>
        <v/>
      </c>
      <c r="E10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0" s="21">
        <f>ملخص_TBL[[#This Row],["التكلفة المقدرة"]]/SUM(ملخص_TBL["التكلفة المقدرة"])</f>
        <v>6.0504201680672269E-2</v>
      </c>
      <c r="G10" s="4"/>
      <c r="H10" s="4"/>
      <c r="I10" s="4"/>
      <c r="J10" s="5" t="s">
        <v>12</v>
      </c>
      <c r="K10" s="4">
        <f>TBL_PhotographsAndVideo[[#Totals],[المُقدر]]</f>
        <v>2500</v>
      </c>
      <c r="L10" s="4">
        <f>TBL_PhotographsAndVideo[[#Totals],[الفعلي]]</f>
        <v>0</v>
      </c>
      <c r="M10" s="4">
        <f t="shared" si="3"/>
        <v>2499.9499999999998</v>
      </c>
      <c r="N10" s="4">
        <f t="shared" si="0"/>
        <v>4</v>
      </c>
      <c r="O10" s="4">
        <v>5</v>
      </c>
      <c r="P10" s="5" t="str">
        <f t="shared" si="1"/>
        <v>الموسيقى</v>
      </c>
    </row>
    <row r="11" spans="1:17" ht="19.95" customHeight="1" x14ac:dyDescent="0.25">
      <c r="A11" s="1"/>
      <c r="B11" s="20" t="str">
        <f t="shared" si="2"/>
        <v>هدايا حفل الزواج والهدايا</v>
      </c>
      <c r="C11" s="66">
        <f>VLOOKUP(ملخص_TBL[[#This Row],[الفئة]],TBL_RankingData,2,FALSE)</f>
        <v>1100</v>
      </c>
      <c r="D11" s="66" t="str">
        <f>IF(VLOOKUP(ملخص_TBL[[#This Row],[الفئة]],TBL_RankingData,3,FALSE)=0,"",VLOOKUP(ملخص_TBL[[#This Row],[الفئة]],TBL_RankingData,3,FALSE))</f>
        <v/>
      </c>
      <c r="E11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1" s="21">
        <f>ملخص_TBL[[#This Row],["التكلفة المقدرة"]]/SUM(ملخص_TBL["التكلفة المقدرة"])</f>
        <v>3.6974789915966387E-2</v>
      </c>
      <c r="G11" s="4"/>
      <c r="H11" s="4"/>
      <c r="I11" s="4"/>
      <c r="J11" s="5" t="s">
        <v>13</v>
      </c>
      <c r="K11" s="4">
        <f>TBL_FavorsAndGifts[[#Totals],[المُقدر]]</f>
        <v>1100</v>
      </c>
      <c r="L11" s="4">
        <f>TBL_FavorsAndGifts[[#Totals],[الفعلي]]</f>
        <v>0</v>
      </c>
      <c r="M11" s="4">
        <f t="shared" si="3"/>
        <v>1099.94</v>
      </c>
      <c r="N11" s="4">
        <f t="shared" si="0"/>
        <v>6</v>
      </c>
      <c r="O11" s="4">
        <v>6</v>
      </c>
      <c r="P11" s="5" t="str">
        <f t="shared" si="1"/>
        <v>هدايا حفل الزواج والهدايا</v>
      </c>
    </row>
    <row r="12" spans="1:17" ht="19.95" customHeight="1" x14ac:dyDescent="0.25">
      <c r="A12" s="1"/>
      <c r="B12" s="20" t="str">
        <f>P12</f>
        <v>خواتم الزواج</v>
      </c>
      <c r="C12" s="66">
        <f>VLOOKUP(ملخص_TBL[[#This Row],[الفئة]],TBL_RankingData,2,FALSE)</f>
        <v>1100</v>
      </c>
      <c r="D12" s="66" t="str">
        <f>IF(VLOOKUP(ملخص_TBL[[#This Row],[الفئة]],TBL_RankingData,3,FALSE)=0,"",VLOOKUP(ملخص_TBL[[#This Row],[الفئة]],TBL_RankingData,3,FALSE))</f>
        <v/>
      </c>
      <c r="E12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2" s="21">
        <f>ملخص_TBL[[#This Row],["التكلفة المقدرة"]]/SUM(ملخص_TBL["التكلفة المقدرة"])</f>
        <v>3.6974789915966387E-2</v>
      </c>
      <c r="G12" s="4"/>
      <c r="H12" s="4"/>
      <c r="I12" s="4"/>
      <c r="J12" s="5" t="s">
        <v>14</v>
      </c>
      <c r="K12" s="4">
        <f>TBL_Ceremony[[#Totals],[المُقدر]]</f>
        <v>800</v>
      </c>
      <c r="L12" s="4">
        <f>TBL_Ceremony[[#Totals],[الفعلي]]</f>
        <v>0</v>
      </c>
      <c r="M12" s="4">
        <f t="shared" si="3"/>
        <v>799.93</v>
      </c>
      <c r="N12" s="4">
        <f t="shared" si="0"/>
        <v>8</v>
      </c>
      <c r="O12" s="4">
        <v>7</v>
      </c>
      <c r="P12" s="5" t="str">
        <f t="shared" si="1"/>
        <v>خواتم الزواج</v>
      </c>
    </row>
    <row r="13" spans="1:17" ht="19.95" customHeight="1" x14ac:dyDescent="0.25">
      <c r="A13" s="1"/>
      <c r="B13" s="20" t="str">
        <f t="shared" si="2"/>
        <v>الحفل</v>
      </c>
      <c r="C13" s="66">
        <f>VLOOKUP(ملخص_TBL[[#This Row],[الفئة]],TBL_RankingData,2,FALSE)</f>
        <v>800</v>
      </c>
      <c r="D13" s="66" t="str">
        <f>IF(VLOOKUP(ملخص_TBL[[#This Row],[الفئة]],TBL_RankingData,3,FALSE)=0,"",VLOOKUP(ملخص_TBL[[#This Row],[الفئة]],TBL_RankingData,3,FALSE))</f>
        <v/>
      </c>
      <c r="E13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3" s="21">
        <f>ملخص_TBL[[#This Row],["التكلفة المقدرة"]]/SUM(ملخص_TBL["التكلفة المقدرة"])</f>
        <v>2.689075630252101E-2</v>
      </c>
      <c r="G13" s="4"/>
      <c r="H13" s="4"/>
      <c r="I13" s="4"/>
      <c r="J13" s="5" t="s">
        <v>15</v>
      </c>
      <c r="K13" s="4">
        <f>TBL_Stationery[[#Totals],[المُقدر]]</f>
        <v>500</v>
      </c>
      <c r="L13" s="4">
        <f>TBL_Stationery[[#Totals],[الفعلي]]</f>
        <v>0</v>
      </c>
      <c r="M13" s="4">
        <f t="shared" si="3"/>
        <v>499.92</v>
      </c>
      <c r="N13" s="4">
        <f t="shared" si="0"/>
        <v>9</v>
      </c>
      <c r="O13" s="4">
        <v>8</v>
      </c>
      <c r="P13" s="5" t="str">
        <f t="shared" si="1"/>
        <v>الحفل</v>
      </c>
    </row>
    <row r="14" spans="1:17" ht="19.95" customHeight="1" x14ac:dyDescent="0.25">
      <c r="A14" s="1"/>
      <c r="B14" s="20" t="str">
        <f t="shared" si="2"/>
        <v>الخطابات</v>
      </c>
      <c r="C14" s="66">
        <f>VLOOKUP(ملخص_TBL[[#This Row],[الفئة]],TBL_RankingData,2,FALSE)</f>
        <v>500</v>
      </c>
      <c r="D14" s="66" t="str">
        <f>IF(VLOOKUP(ملخص_TBL[[#This Row],[الفئة]],TBL_RankingData,3,FALSE)=0,"",VLOOKUP(ملخص_TBL[[#This Row],[الفئة]],TBL_RankingData,3,FALSE))</f>
        <v/>
      </c>
      <c r="E14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4" s="21">
        <f>ملخص_TBL[[#This Row],["التكلفة المقدرة"]]/SUM(ملخص_TBL["التكلفة المقدرة"])</f>
        <v>1.680672268907563E-2</v>
      </c>
      <c r="G14" s="4"/>
      <c r="H14" s="4"/>
      <c r="I14" s="4"/>
      <c r="J14" s="5" t="s">
        <v>16</v>
      </c>
      <c r="K14" s="4">
        <f>TBL_WeddingRings[[#Totals],[المُقدر]]</f>
        <v>1100</v>
      </c>
      <c r="L14" s="4">
        <f>TBL_WeddingRings[[#Totals],[الفعلي]]</f>
        <v>0</v>
      </c>
      <c r="M14" s="4">
        <f t="shared" si="3"/>
        <v>1099.9100000000001</v>
      </c>
      <c r="N14" s="4">
        <f t="shared" si="0"/>
        <v>7</v>
      </c>
      <c r="O14" s="4">
        <v>9</v>
      </c>
      <c r="P14" s="5" t="str">
        <f t="shared" si="1"/>
        <v>الخطابات</v>
      </c>
    </row>
    <row r="15" spans="1:17" ht="19.95" customHeight="1" x14ac:dyDescent="0.25">
      <c r="A15" s="1"/>
      <c r="B15" s="20" t="str">
        <f t="shared" si="2"/>
        <v>وسائل النقل</v>
      </c>
      <c r="C15" s="66">
        <f>VLOOKUP(ملخص_TBL[[#This Row],[الفئة]],TBL_RankingData,2,FALSE)</f>
        <v>450</v>
      </c>
      <c r="D15" s="66" t="str">
        <f>IF(VLOOKUP(ملخص_TBL[[#This Row],[الفئة]],TBL_RankingData,3,FALSE)=0,"",VLOOKUP(ملخص_TBL[[#This Row],[الفئة]],TBL_RankingData,3,FALSE))</f>
        <v/>
      </c>
      <c r="E15" s="66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5" s="21">
        <f>ملخص_TBL[[#This Row],["التكلفة المقدرة"]]/SUM(ملخص_TBL["التكلفة المقدرة"])</f>
        <v>1.5126050420168067E-2</v>
      </c>
      <c r="G15" s="4"/>
      <c r="H15" s="4"/>
      <c r="I15" s="4"/>
      <c r="J15" s="5" t="s">
        <v>17</v>
      </c>
      <c r="K15" s="4">
        <f>TBL_Transportation[[#Totals],[المُقدر]]</f>
        <v>450</v>
      </c>
      <c r="L15" s="4">
        <f>TBL_Transportation[[#Totals],[الفعلي]]</f>
        <v>0</v>
      </c>
      <c r="M15" s="4">
        <f t="shared" si="3"/>
        <v>449.9</v>
      </c>
      <c r="N15" s="4">
        <f t="shared" si="0"/>
        <v>10</v>
      </c>
      <c r="O15" s="4">
        <v>10</v>
      </c>
      <c r="P15" s="5" t="str">
        <f t="shared" si="1"/>
        <v>وسائل النقل</v>
      </c>
    </row>
    <row r="16" spans="1:17" s="27" customFormat="1" ht="34.950000000000003" customHeight="1" x14ac:dyDescent="0.25">
      <c r="A16" s="22"/>
      <c r="B16" s="23" t="s">
        <v>1</v>
      </c>
      <c r="C16" s="67">
        <f>SUBTOTAL(109,ملخص_TBL["التكلفة المقدرة"])</f>
        <v>29750</v>
      </c>
      <c r="D16" s="67">
        <f>SUBTOTAL(109,ملخص_TBL[التكلفة الفعلية])</f>
        <v>15700</v>
      </c>
      <c r="E16" s="67">
        <f>ملخص_TBL[[#Totals],["التكلفة المقدرة"]]-ملخص_TBL[[#Totals],[التكلفة الفعلية]]</f>
        <v>14050</v>
      </c>
      <c r="F16" s="24">
        <f>SUBTOTAL(109,ملخص_TBL[الميزانية %])</f>
        <v>1</v>
      </c>
      <c r="G16" s="25"/>
      <c r="H16" s="25"/>
      <c r="I16" s="25"/>
      <c r="J16" s="26"/>
      <c r="K16" s="26"/>
      <c r="L16" s="26"/>
      <c r="M16" s="25"/>
      <c r="N16" s="25"/>
      <c r="O16" s="25"/>
      <c r="P16" s="26"/>
    </row>
    <row r="17" spans="1:7" ht="21" customHeight="1" x14ac:dyDescent="0.25">
      <c r="A17" s="28"/>
      <c r="B17" s="29"/>
      <c r="C17" s="30"/>
      <c r="D17" s="30"/>
      <c r="E17" s="30"/>
      <c r="F17" s="30"/>
    </row>
    <row r="18" spans="1:7" ht="21" customHeight="1" x14ac:dyDescent="0.25">
      <c r="A18" s="28"/>
      <c r="B18" s="30"/>
      <c r="C18" s="30"/>
      <c r="D18" s="30"/>
      <c r="E18" s="30"/>
      <c r="F18" s="30"/>
    </row>
    <row r="19" spans="1:7" ht="21" customHeight="1" x14ac:dyDescent="0.25">
      <c r="A19" s="28"/>
      <c r="B19" s="30"/>
      <c r="C19" s="30"/>
      <c r="D19" s="30"/>
      <c r="E19" s="30"/>
      <c r="F19" s="30"/>
    </row>
    <row r="20" spans="1:7" ht="21" customHeight="1" x14ac:dyDescent="0.25">
      <c r="A20" s="28"/>
      <c r="B20" s="30"/>
      <c r="C20" s="30"/>
      <c r="D20" s="30"/>
      <c r="E20" s="30"/>
      <c r="F20" s="30"/>
    </row>
    <row r="21" spans="1:7" ht="21" customHeight="1" x14ac:dyDescent="0.25">
      <c r="B21" s="6"/>
    </row>
    <row r="22" spans="1:7" ht="21" customHeight="1" x14ac:dyDescent="0.25">
      <c r="B22" s="6"/>
    </row>
    <row r="23" spans="1:7" ht="21" customHeight="1" x14ac:dyDescent="0.25">
      <c r="B23" s="6"/>
    </row>
    <row r="24" spans="1:7" ht="21" customHeight="1" x14ac:dyDescent="0.25">
      <c r="B24" s="6"/>
      <c r="G24" s="32"/>
    </row>
  </sheetData>
  <mergeCells count="1">
    <mergeCell ref="B2:F2"/>
  </mergeCells>
  <dataValidations count="6">
    <dataValidation allowBlank="1" showInputMessage="1" showErrorMessage="1" promptTitle="موازنة حفل الزفاف" prompt="_x000a_استخدم هذا القالب لإنشاء ميزانية الزفاف الخاصة بك._x000a__x000a_In في علامة التبويب &quot;تفاصيل الميزانية&quot;، أدخل التفاصيل الخاصة بكل فئة مصروفات._x000a__x000a_يتم تحديث جدول الملخص في الخلية B5 والمخطط في الخلية B3 تلقائيًا._x000a_" sqref="A1" xr:uid="{00000000-0002-0000-0000-000000000000}"/>
    <dataValidation allowBlank="1" showInputMessage="1" showErrorMessage="1" prompt="يتم تلخيص ميزانية حفل الزفاف تلقائيًا في هذا الجدول. _x000a__x000a_The يتم تصنيف فئة المصروفات تلقائيًا بترتيب تنازلي بناءً على إجمالي التكاليف المقدرة._x000a__x000a_" sqref="B5" xr:uid="{00000000-0002-0000-0000-000001000000}"/>
    <dataValidation allowBlank="1" showInputMessage="1" showErrorMessage="1" prompt="يتم احتساب التكاليف المقدرة تلقائيًا._x000a__x000a_تتم قراءة البيانات من علامة التبويب &quot;تفاصيل الميزانية&quot;." sqref="C5" xr:uid="{00000000-0002-0000-0000-000002000000}"/>
    <dataValidation allowBlank="1" showInputMessage="1" showErrorMessage="1" prompt="يتم احتساب التكاليف الفعلية تلقائيًا._x000a__x000a_تتم قراءة البيانات من علامة التبويب &quot;تفاصيل الميزانية&quot;." sqref="D5" xr:uid="{00000000-0002-0000-0000-000003000000}"/>
    <dataValidation allowBlank="1" showInputMessage="1" showErrorMessage="1" prompt="يتم احتساب الفرق تلقائيًا._x000a__x000a_ وهذا يوضح الفرق بين التكاليف المقدرة والتكاليف الفعلية." sqref="E5" xr:uid="{00000000-0002-0000-0000-000004000000}"/>
    <dataValidation allowBlank="1" showInputMessage="1" showErrorMessage="1" prompt="يتم احتساب النسبة المئوية للميزانية تلقائيًا ._x000a__x000a_ وهذا يوضح التقسيم بناءً على إجمالي التكاليف المقدرة." sqref="F5" xr:uid="{00000000-0002-0000-0000-000005000000}"/>
  </dataValidations>
  <printOptions horizontalCentered="1"/>
  <pageMargins left="0.25" right="0.25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94"/>
  <sheetViews>
    <sheetView showGridLines="0" rightToLeft="1" topLeftCell="A31" zoomScaleNormal="100" workbookViewId="0">
      <selection activeCell="B49" sqref="B49"/>
    </sheetView>
  </sheetViews>
  <sheetFormatPr defaultColWidth="8.69921875" defaultRowHeight="21" customHeight="1" x14ac:dyDescent="0.25"/>
  <cols>
    <col min="1" max="1" width="1.5" style="52" customWidth="1"/>
    <col min="2" max="2" width="40.69921875" style="55" customWidth="1"/>
    <col min="3" max="5" width="16.59765625" style="54" customWidth="1"/>
    <col min="6" max="6" width="1.5" style="6" customWidth="1"/>
    <col min="7" max="16384" width="8.69921875" style="6"/>
  </cols>
  <sheetData>
    <row r="1" spans="1:6" ht="9" customHeight="1" x14ac:dyDescent="0.25">
      <c r="A1" s="34"/>
      <c r="B1" s="35"/>
      <c r="C1" s="36"/>
      <c r="D1" s="36"/>
      <c r="E1" s="36"/>
      <c r="F1" s="5" t="s">
        <v>6</v>
      </c>
    </row>
    <row r="2" spans="1:6" s="39" customFormat="1" ht="41.25" customHeight="1" x14ac:dyDescent="0.25">
      <c r="A2" s="37"/>
      <c r="B2" s="69" t="s">
        <v>24</v>
      </c>
      <c r="C2" s="38"/>
      <c r="D2" s="38"/>
      <c r="E2" s="38"/>
      <c r="F2" s="9"/>
    </row>
    <row r="3" spans="1:6" ht="21" customHeight="1" x14ac:dyDescent="0.25">
      <c r="A3" s="40"/>
      <c r="B3" s="41"/>
      <c r="C3" s="42"/>
      <c r="D3" s="42"/>
      <c r="E3" s="42"/>
      <c r="F3" s="4"/>
    </row>
    <row r="4" spans="1:6" ht="21" customHeight="1" x14ac:dyDescent="0.25">
      <c r="A4" s="34"/>
      <c r="B4" s="43" t="s">
        <v>8</v>
      </c>
      <c r="C4" s="72" t="s">
        <v>80</v>
      </c>
      <c r="D4" s="72" t="s">
        <v>82</v>
      </c>
      <c r="E4" s="73" t="s">
        <v>4</v>
      </c>
      <c r="F4" s="4"/>
    </row>
    <row r="5" spans="1:6" ht="21" customHeight="1" x14ac:dyDescent="0.25">
      <c r="A5" s="34"/>
      <c r="B5" s="44" t="s">
        <v>25</v>
      </c>
      <c r="C5" s="57">
        <v>8000</v>
      </c>
      <c r="D5" s="58">
        <v>7800</v>
      </c>
      <c r="E5" s="59">
        <f>IF(OR(TBL_Reception[[#This Row],[مُقدر]]="",TBL_Reception[[#This Row],[الفعلي]]=""),"",TBL_Reception[[#This Row],[مُقدر]]-TBL_Reception[[#This Row],[الفعلي]])</f>
        <v>200</v>
      </c>
      <c r="F5" s="4"/>
    </row>
    <row r="6" spans="1:6" ht="21" customHeight="1" x14ac:dyDescent="0.25">
      <c r="A6" s="34"/>
      <c r="B6" s="45" t="s">
        <v>26</v>
      </c>
      <c r="C6" s="60">
        <v>4000</v>
      </c>
      <c r="D6" s="61">
        <v>4200</v>
      </c>
      <c r="E6" s="59">
        <f>IF(OR(TBL_Reception[[#This Row],[مُقدر]]="",TBL_Reception[[#This Row],[الفعلي]]=""),"",TBL_Reception[[#This Row],[مُقدر]]-TBL_Reception[[#This Row],[الفعلي]])</f>
        <v>-200</v>
      </c>
      <c r="F6" s="4"/>
    </row>
    <row r="7" spans="1:6" ht="21" customHeight="1" x14ac:dyDescent="0.25">
      <c r="A7" s="34"/>
      <c r="B7" s="45" t="s">
        <v>27</v>
      </c>
      <c r="C7" s="60">
        <v>1000</v>
      </c>
      <c r="D7" s="61">
        <v>800</v>
      </c>
      <c r="E7" s="59">
        <f>IF(OR(TBL_Reception[[#This Row],[مُقدر]]="",TBL_Reception[[#This Row],[الفعلي]]=""),"",TBL_Reception[[#This Row],[مُقدر]]-TBL_Reception[[#This Row],[الفعلي]])</f>
        <v>200</v>
      </c>
      <c r="F7" s="4"/>
    </row>
    <row r="8" spans="1:6" ht="21" customHeight="1" x14ac:dyDescent="0.25">
      <c r="A8" s="34"/>
      <c r="B8" s="45" t="s">
        <v>28</v>
      </c>
      <c r="C8" s="60">
        <v>1000</v>
      </c>
      <c r="D8" s="61"/>
      <c r="E8" s="59" t="str">
        <f>IF(OR(TBL_Reception[[#This Row],[مُقدر]]="",TBL_Reception[[#This Row],[الفعلي]]=""),"",TBL_Reception[[#This Row],[مُقدر]]-TBL_Reception[[#This Row],[الفعلي]])</f>
        <v/>
      </c>
      <c r="F8" s="4"/>
    </row>
    <row r="9" spans="1:6" ht="21" customHeight="1" x14ac:dyDescent="0.25">
      <c r="A9" s="34"/>
      <c r="B9" s="46" t="s">
        <v>29</v>
      </c>
      <c r="C9" s="62">
        <v>500</v>
      </c>
      <c r="D9" s="63"/>
      <c r="E9" s="59" t="str">
        <f>IF(OR(TBL_Reception[[#This Row],[مُقدر]]="",TBL_Reception[[#This Row],[الفعلي]]=""),"",TBL_Reception[[#This Row],[مُقدر]]-TBL_Reception[[#This Row],[الفعلي]])</f>
        <v/>
      </c>
      <c r="F9" s="4"/>
    </row>
    <row r="10" spans="1:6" ht="21" customHeight="1" x14ac:dyDescent="0.25">
      <c r="A10" s="34"/>
      <c r="B10" s="56" t="s">
        <v>30</v>
      </c>
      <c r="C10" s="70">
        <f>SUBTOTAL(109,TBL_Reception[مُقدر])</f>
        <v>14500</v>
      </c>
      <c r="D10" s="70">
        <f>SUBTOTAL(109,TBL_Reception[الفعلي])</f>
        <v>12800</v>
      </c>
      <c r="E10" s="71">
        <f>TBL_Reception[[#Totals],[مُقدر]]-TBL_Reception[[#Totals],[الفعلي]]</f>
        <v>1700</v>
      </c>
      <c r="F10" s="47"/>
    </row>
    <row r="11" spans="1:6" ht="21" customHeight="1" x14ac:dyDescent="0.25">
      <c r="A11" s="34"/>
      <c r="B11" s="41"/>
      <c r="C11" s="36"/>
      <c r="D11" s="48"/>
      <c r="E11" s="36"/>
      <c r="F11" s="4"/>
    </row>
    <row r="12" spans="1:6" ht="21" customHeight="1" x14ac:dyDescent="0.25">
      <c r="A12" s="34"/>
      <c r="B12" s="41"/>
      <c r="C12" s="36"/>
      <c r="D12" s="36"/>
      <c r="E12" s="36"/>
      <c r="F12" s="4"/>
    </row>
    <row r="13" spans="1:6" ht="21" customHeight="1" x14ac:dyDescent="0.25">
      <c r="A13" s="34"/>
      <c r="B13" s="43" t="s">
        <v>9</v>
      </c>
      <c r="C13" s="74" t="s">
        <v>81</v>
      </c>
      <c r="D13" s="74" t="s">
        <v>82</v>
      </c>
      <c r="E13" s="75" t="s">
        <v>4</v>
      </c>
      <c r="F13" s="4"/>
    </row>
    <row r="14" spans="1:6" ht="21" customHeight="1" x14ac:dyDescent="0.25">
      <c r="A14" s="34"/>
      <c r="B14" s="44" t="s">
        <v>31</v>
      </c>
      <c r="C14" s="60">
        <v>3000</v>
      </c>
      <c r="D14" s="60">
        <v>2900</v>
      </c>
      <c r="E14" s="60">
        <f>IF(OR(TBL_Attire[[#This Row],[المُقدر]]="",TBL_Attire[[#This Row],[الفعلي]]=""),"",TBL_Attire[[#This Row],[المُقدر]]-TBL_Attire[[#This Row],[الفعلي]])</f>
        <v>100</v>
      </c>
      <c r="F14" s="4"/>
    </row>
    <row r="15" spans="1:6" ht="21" customHeight="1" x14ac:dyDescent="0.25">
      <c r="A15" s="34"/>
      <c r="B15" s="45" t="s">
        <v>32</v>
      </c>
      <c r="C15" s="60">
        <v>100</v>
      </c>
      <c r="D15" s="60"/>
      <c r="E15" s="60" t="str">
        <f>IF(OR(TBL_Attire[[#This Row],[المُقدر]]="",TBL_Attire[[#This Row],[الفعلي]]=""),"",TBL_Attire[[#This Row],[المُقدر]]-TBL_Attire[[#This Row],[الفعلي]])</f>
        <v/>
      </c>
      <c r="F15" s="4"/>
    </row>
    <row r="16" spans="1:6" ht="21" customHeight="1" x14ac:dyDescent="0.25">
      <c r="A16" s="34"/>
      <c r="B16" s="45" t="s">
        <v>33</v>
      </c>
      <c r="C16" s="60">
        <v>200</v>
      </c>
      <c r="D16" s="60"/>
      <c r="E16" s="60" t="str">
        <f>IF(OR(TBL_Attire[[#This Row],[المُقدر]]="",TBL_Attire[[#This Row],[الفعلي]]=""),"",TBL_Attire[[#This Row],[المُقدر]]-TBL_Attire[[#This Row],[الفعلي]])</f>
        <v/>
      </c>
      <c r="F16" s="4"/>
    </row>
    <row r="17" spans="1:6" ht="21" customHeight="1" x14ac:dyDescent="0.25">
      <c r="A17" s="34"/>
      <c r="B17" s="45" t="s">
        <v>34</v>
      </c>
      <c r="C17" s="60">
        <v>100</v>
      </c>
      <c r="D17" s="60"/>
      <c r="E17" s="60" t="str">
        <f>IF(OR(TBL_Attire[[#This Row],[المُقدر]]="",TBL_Attire[[#This Row],[الفعلي]]=""),"",TBL_Attire[[#This Row],[المُقدر]]-TBL_Attire[[#This Row],[الفعلي]])</f>
        <v/>
      </c>
      <c r="F17" s="4"/>
    </row>
    <row r="18" spans="1:6" ht="21" customHeight="1" x14ac:dyDescent="0.25">
      <c r="A18" s="34"/>
      <c r="B18" s="45" t="s">
        <v>35</v>
      </c>
      <c r="C18" s="60">
        <v>500</v>
      </c>
      <c r="D18" s="60"/>
      <c r="E18" s="60" t="str">
        <f>IF(OR(TBL_Attire[[#This Row],[المُقدر]]="",TBL_Attire[[#This Row],[الفعلي]]=""),"",TBL_Attire[[#This Row],[المُقدر]]-TBL_Attire[[#This Row],[الفعلي]])</f>
        <v/>
      </c>
      <c r="F18" s="4"/>
    </row>
    <row r="19" spans="1:6" ht="21" customHeight="1" x14ac:dyDescent="0.25">
      <c r="A19" s="34"/>
      <c r="B19" s="46" t="s">
        <v>29</v>
      </c>
      <c r="C19" s="60">
        <v>100</v>
      </c>
      <c r="D19" s="60"/>
      <c r="E19" s="60" t="str">
        <f>IF(OR(TBL_Attire[[#This Row],[المُقدر]]="",TBL_Attire[[#This Row],[الفعلي]]=""),"",TBL_Attire[[#This Row],[المُقدر]]-TBL_Attire[[#This Row],[الفعلي]])</f>
        <v/>
      </c>
      <c r="F19" s="4"/>
    </row>
    <row r="20" spans="1:6" ht="21" customHeight="1" x14ac:dyDescent="0.25">
      <c r="A20" s="34"/>
      <c r="B20" s="49" t="s">
        <v>36</v>
      </c>
      <c r="C20" s="70">
        <f>SUBTOTAL(109,TBL_Attire[المُقدر])</f>
        <v>4000</v>
      </c>
      <c r="D20" s="70">
        <f>SUBTOTAL(109,TBL_Attire[الفعلي])</f>
        <v>2900</v>
      </c>
      <c r="E20" s="71">
        <f>TBL_Attire[[#Totals],[المُقدر]]-TBL_Attire[[#Totals],[الفعلي]]</f>
        <v>1100</v>
      </c>
      <c r="F20" s="4"/>
    </row>
    <row r="21" spans="1:6" ht="21" customHeight="1" x14ac:dyDescent="0.25">
      <c r="A21" s="34"/>
      <c r="B21" s="41"/>
      <c r="C21" s="36"/>
      <c r="D21" s="36"/>
      <c r="E21" s="36"/>
      <c r="F21" s="4"/>
    </row>
    <row r="22" spans="1:6" ht="21" customHeight="1" x14ac:dyDescent="0.25">
      <c r="A22" s="34"/>
      <c r="B22" s="41"/>
      <c r="C22" s="36"/>
      <c r="D22" s="36"/>
      <c r="E22" s="36"/>
      <c r="F22" s="4"/>
    </row>
    <row r="23" spans="1:6" ht="21" customHeight="1" x14ac:dyDescent="0.25">
      <c r="A23" s="34"/>
      <c r="B23" s="43" t="s">
        <v>10</v>
      </c>
      <c r="C23" s="74" t="s">
        <v>81</v>
      </c>
      <c r="D23" s="74" t="s">
        <v>82</v>
      </c>
      <c r="E23" s="75" t="s">
        <v>4</v>
      </c>
      <c r="F23" s="4"/>
    </row>
    <row r="24" spans="1:6" ht="21" customHeight="1" x14ac:dyDescent="0.25">
      <c r="A24" s="34"/>
      <c r="B24" s="44" t="s">
        <v>37</v>
      </c>
      <c r="C24" s="64">
        <v>1000</v>
      </c>
      <c r="D24" s="64"/>
      <c r="E24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24" s="4"/>
    </row>
    <row r="25" spans="1:6" ht="21" customHeight="1" x14ac:dyDescent="0.25">
      <c r="A25" s="34"/>
      <c r="B25" s="45" t="s">
        <v>38</v>
      </c>
      <c r="C25" s="64">
        <v>500</v>
      </c>
      <c r="D25" s="64"/>
      <c r="E25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25" s="4"/>
    </row>
    <row r="26" spans="1:6" ht="21" customHeight="1" x14ac:dyDescent="0.25">
      <c r="A26" s="34"/>
      <c r="B26" s="45" t="s">
        <v>39</v>
      </c>
      <c r="C26" s="64">
        <v>100</v>
      </c>
      <c r="D26" s="64"/>
      <c r="E26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26" s="4"/>
    </row>
    <row r="27" spans="1:6" ht="21" customHeight="1" x14ac:dyDescent="0.25">
      <c r="A27" s="34"/>
      <c r="B27" s="45" t="s">
        <v>40</v>
      </c>
      <c r="C27" s="64">
        <v>500</v>
      </c>
      <c r="D27" s="64"/>
      <c r="E27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27" s="4"/>
    </row>
    <row r="28" spans="1:6" ht="21" customHeight="1" x14ac:dyDescent="0.25">
      <c r="A28" s="34"/>
      <c r="B28" s="45" t="s">
        <v>41</v>
      </c>
      <c r="C28" s="64">
        <v>100</v>
      </c>
      <c r="D28" s="64"/>
      <c r="E28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28" s="4"/>
    </row>
    <row r="29" spans="1:6" ht="21" customHeight="1" x14ac:dyDescent="0.25">
      <c r="A29" s="34"/>
      <c r="B29" s="45" t="s">
        <v>42</v>
      </c>
      <c r="C29" s="64">
        <v>200</v>
      </c>
      <c r="D29" s="64"/>
      <c r="E29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29" s="4"/>
    </row>
    <row r="30" spans="1:6" ht="21" customHeight="1" x14ac:dyDescent="0.25">
      <c r="A30" s="34"/>
      <c r="B30" s="45" t="s">
        <v>43</v>
      </c>
      <c r="C30" s="64">
        <v>300</v>
      </c>
      <c r="D30" s="64"/>
      <c r="E30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30" s="4"/>
    </row>
    <row r="31" spans="1:6" ht="21" customHeight="1" x14ac:dyDescent="0.25">
      <c r="A31" s="34"/>
      <c r="B31" s="45" t="s">
        <v>44</v>
      </c>
      <c r="C31" s="64">
        <v>200</v>
      </c>
      <c r="D31" s="64"/>
      <c r="E31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31" s="4"/>
    </row>
    <row r="32" spans="1:6" ht="21" customHeight="1" x14ac:dyDescent="0.25">
      <c r="A32" s="34"/>
      <c r="B32" s="46" t="s">
        <v>29</v>
      </c>
      <c r="C32" s="64">
        <v>100</v>
      </c>
      <c r="D32" s="64"/>
      <c r="E32" s="64" t="str">
        <f>IF(OR(TBL_FlowersAndDecor[[#This Row],[المُقدر]]="",TBL_FlowersAndDecor[[#This Row],[الفعلي]]=""),"",TBL_FlowersAndDecor[[#This Row],[المُقدر]]-TBL_FlowersAndDecor[[#This Row],[الفعلي]])</f>
        <v/>
      </c>
      <c r="F32" s="4"/>
    </row>
    <row r="33" spans="1:6" ht="21" customHeight="1" x14ac:dyDescent="0.25">
      <c r="A33" s="34"/>
      <c r="B33" s="49" t="s">
        <v>45</v>
      </c>
      <c r="C33" s="70">
        <f>SUBTOTAL(109,TBL_FlowersAndDecor[المُقدر])</f>
        <v>3000</v>
      </c>
      <c r="D33" s="70">
        <f>SUBTOTAL(109,TBL_FlowersAndDecor[الفعلي])</f>
        <v>0</v>
      </c>
      <c r="E33" s="71">
        <f>TBL_FlowersAndDecor[[#Totals],[المُقدر]]-TBL_FlowersAndDecor[[#Totals],[الفعلي]]</f>
        <v>3000</v>
      </c>
      <c r="F33" s="4"/>
    </row>
    <row r="34" spans="1:6" ht="21" customHeight="1" x14ac:dyDescent="0.25">
      <c r="A34" s="34"/>
      <c r="B34" s="41"/>
      <c r="C34" s="36"/>
      <c r="D34" s="36"/>
      <c r="E34" s="36"/>
      <c r="F34" s="4"/>
    </row>
    <row r="35" spans="1:6" ht="21" customHeight="1" x14ac:dyDescent="0.25">
      <c r="A35" s="34"/>
      <c r="B35" s="41"/>
      <c r="C35" s="36"/>
      <c r="D35" s="36"/>
      <c r="E35" s="36"/>
      <c r="F35" s="4"/>
    </row>
    <row r="36" spans="1:6" ht="21" customHeight="1" x14ac:dyDescent="0.25">
      <c r="A36" s="34"/>
      <c r="B36" s="43" t="s">
        <v>11</v>
      </c>
      <c r="C36" s="74" t="s">
        <v>81</v>
      </c>
      <c r="D36" s="74" t="s">
        <v>82</v>
      </c>
      <c r="E36" s="75" t="s">
        <v>4</v>
      </c>
      <c r="F36" s="4"/>
    </row>
    <row r="37" spans="1:6" ht="21" customHeight="1" x14ac:dyDescent="0.25">
      <c r="A37" s="34"/>
      <c r="B37" s="44" t="s">
        <v>46</v>
      </c>
      <c r="C37" s="64">
        <v>700</v>
      </c>
      <c r="D37" s="64"/>
      <c r="E37" s="64" t="str">
        <f>IF(OR(TBL_Music[[#This Row],[المُقدر]]="",TBL_Music[[#This Row],[الفعلي]]=""),"",TBL_Music[[#This Row],[المُقدر]]-TBL_Music[[#This Row],[الفعلي]])</f>
        <v/>
      </c>
      <c r="F37" s="4"/>
    </row>
    <row r="38" spans="1:6" ht="21" customHeight="1" x14ac:dyDescent="0.25">
      <c r="A38" s="34"/>
      <c r="B38" s="45" t="s">
        <v>47</v>
      </c>
      <c r="C38" s="64">
        <v>300</v>
      </c>
      <c r="D38" s="64"/>
      <c r="E38" s="64" t="str">
        <f>IF(OR(TBL_Music[[#This Row],[المُقدر]]="",TBL_Music[[#This Row],[الفعلي]]=""),"",TBL_Music[[#This Row],[المُقدر]]-TBL_Music[[#This Row],[الفعلي]])</f>
        <v/>
      </c>
      <c r="F38" s="4"/>
    </row>
    <row r="39" spans="1:6" ht="21" customHeight="1" x14ac:dyDescent="0.25">
      <c r="A39" s="34"/>
      <c r="B39" s="45" t="s">
        <v>48</v>
      </c>
      <c r="C39" s="64">
        <v>200</v>
      </c>
      <c r="D39" s="64"/>
      <c r="E39" s="64" t="str">
        <f>IF(OR(TBL_Music[[#This Row],[المُقدر]]="",TBL_Music[[#This Row],[الفعلي]]=""),"",TBL_Music[[#This Row],[المُقدر]]-TBL_Music[[#This Row],[الفعلي]])</f>
        <v/>
      </c>
      <c r="F39" s="4"/>
    </row>
    <row r="40" spans="1:6" ht="21" customHeight="1" x14ac:dyDescent="0.25">
      <c r="A40" s="34"/>
      <c r="B40" s="45" t="s">
        <v>49</v>
      </c>
      <c r="C40" s="64">
        <v>400</v>
      </c>
      <c r="D40" s="64"/>
      <c r="E40" s="64" t="str">
        <f>IF(OR(TBL_Music[[#This Row],[المُقدر]]="",TBL_Music[[#This Row],[الفعلي]]=""),"",TBL_Music[[#This Row],[المُقدر]]-TBL_Music[[#This Row],[الفعلي]])</f>
        <v/>
      </c>
      <c r="F40" s="4"/>
    </row>
    <row r="41" spans="1:6" ht="21" customHeight="1" x14ac:dyDescent="0.25">
      <c r="A41" s="34"/>
      <c r="B41" s="46" t="s">
        <v>29</v>
      </c>
      <c r="C41" s="64">
        <v>200</v>
      </c>
      <c r="D41" s="64"/>
      <c r="E41" s="64" t="str">
        <f>IF(OR(TBL_Music[[#This Row],[المُقدر]]="",TBL_Music[[#This Row],[الفعلي]]=""),"",TBL_Music[[#This Row],[المُقدر]]-TBL_Music[[#This Row],[الفعلي]])</f>
        <v/>
      </c>
      <c r="F41" s="4"/>
    </row>
    <row r="42" spans="1:6" ht="21" customHeight="1" x14ac:dyDescent="0.25">
      <c r="A42" s="34"/>
      <c r="B42" s="49" t="s">
        <v>50</v>
      </c>
      <c r="C42" s="70">
        <f>SUBTOTAL(109,TBL_Music[المُقدر])</f>
        <v>1800</v>
      </c>
      <c r="D42" s="70">
        <f>SUBTOTAL(109,TBL_Music[الفعلي])</f>
        <v>0</v>
      </c>
      <c r="E42" s="70">
        <f>TBL_Music[[#Totals],[المُقدر]]-TBL_Music[[#Totals],[الفعلي]]</f>
        <v>1800</v>
      </c>
      <c r="F42" s="4"/>
    </row>
    <row r="43" spans="1:6" ht="21" customHeight="1" x14ac:dyDescent="0.25">
      <c r="A43" s="34"/>
      <c r="B43" s="41"/>
      <c r="C43" s="36"/>
      <c r="D43" s="36"/>
      <c r="E43" s="36"/>
      <c r="F43" s="4"/>
    </row>
    <row r="44" spans="1:6" ht="21" customHeight="1" x14ac:dyDescent="0.25">
      <c r="A44" s="34"/>
      <c r="B44" s="41"/>
      <c r="C44" s="36"/>
      <c r="D44" s="36"/>
      <c r="E44" s="36"/>
      <c r="F44" s="4"/>
    </row>
    <row r="45" spans="1:6" ht="21" customHeight="1" x14ac:dyDescent="0.25">
      <c r="A45" s="34"/>
      <c r="B45" s="43" t="s">
        <v>51</v>
      </c>
      <c r="C45" s="74" t="s">
        <v>81</v>
      </c>
      <c r="D45" s="74" t="s">
        <v>82</v>
      </c>
      <c r="E45" s="75" t="s">
        <v>4</v>
      </c>
      <c r="F45" s="4"/>
    </row>
    <row r="46" spans="1:6" ht="21" customHeight="1" x14ac:dyDescent="0.25">
      <c r="A46" s="34"/>
      <c r="B46" s="44" t="s">
        <v>52</v>
      </c>
      <c r="C46" s="64">
        <v>1000</v>
      </c>
      <c r="D46" s="64"/>
      <c r="E46" s="64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6" s="4"/>
    </row>
    <row r="47" spans="1:6" ht="21" customHeight="1" x14ac:dyDescent="0.25">
      <c r="A47" s="34"/>
      <c r="B47" s="45" t="s">
        <v>53</v>
      </c>
      <c r="C47" s="64">
        <v>800</v>
      </c>
      <c r="D47" s="64"/>
      <c r="E47" s="64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7" s="4"/>
    </row>
    <row r="48" spans="1:6" ht="21" customHeight="1" x14ac:dyDescent="0.25">
      <c r="A48" s="34"/>
      <c r="B48" s="45" t="s">
        <v>54</v>
      </c>
      <c r="C48" s="64">
        <v>500</v>
      </c>
      <c r="D48" s="64"/>
      <c r="E48" s="64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8" s="4"/>
    </row>
    <row r="49" spans="1:6" ht="21" customHeight="1" x14ac:dyDescent="0.25">
      <c r="A49" s="34"/>
      <c r="B49" s="46" t="s">
        <v>29</v>
      </c>
      <c r="C49" s="64">
        <v>200</v>
      </c>
      <c r="D49" s="64"/>
      <c r="E49" s="64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9" s="4"/>
    </row>
    <row r="50" spans="1:6" ht="21" customHeight="1" x14ac:dyDescent="0.25">
      <c r="A50" s="34"/>
      <c r="B50" s="49" t="s">
        <v>55</v>
      </c>
      <c r="C50" s="70">
        <f>SUBTOTAL(109,TBL_PhotographsAndVideo[المُقدر])</f>
        <v>2500</v>
      </c>
      <c r="D50" s="70">
        <f>SUBTOTAL(109,TBL_PhotographsAndVideo[الفعلي])</f>
        <v>0</v>
      </c>
      <c r="E50" s="70">
        <f>TBL_PhotographsAndVideo[[#Totals],[المُقدر]]-TBL_PhotographsAndVideo[[#Totals],[الفعلي]]</f>
        <v>2500</v>
      </c>
      <c r="F50" s="4"/>
    </row>
    <row r="51" spans="1:6" ht="21" customHeight="1" x14ac:dyDescent="0.25">
      <c r="A51" s="34"/>
      <c r="B51" s="41"/>
      <c r="C51" s="36"/>
      <c r="D51" s="36"/>
      <c r="E51" s="36"/>
      <c r="F51" s="4"/>
    </row>
    <row r="52" spans="1:6" ht="21" customHeight="1" x14ac:dyDescent="0.25">
      <c r="A52" s="34"/>
      <c r="B52" s="41"/>
      <c r="C52" s="36"/>
      <c r="D52" s="36"/>
      <c r="E52" s="36"/>
      <c r="F52" s="4"/>
    </row>
    <row r="53" spans="1:6" ht="21" customHeight="1" x14ac:dyDescent="0.25">
      <c r="A53" s="34"/>
      <c r="B53" s="43" t="s">
        <v>56</v>
      </c>
      <c r="C53" s="74" t="s">
        <v>81</v>
      </c>
      <c r="D53" s="74" t="s">
        <v>82</v>
      </c>
      <c r="E53" s="75" t="s">
        <v>4</v>
      </c>
      <c r="F53" s="4"/>
    </row>
    <row r="54" spans="1:6" ht="21" customHeight="1" x14ac:dyDescent="0.25">
      <c r="A54" s="34"/>
      <c r="B54" s="44" t="s">
        <v>57</v>
      </c>
      <c r="C54" s="64">
        <v>700</v>
      </c>
      <c r="D54" s="64"/>
      <c r="E54" s="64" t="str">
        <f>IF(OR(TBL_FavorsAndGifts[[#This Row],[المُقدر]]="",TBL_FavorsAndGifts[[#This Row],[الفعلي]]=""),"",TBL_FavorsAndGifts[[#This Row],[المُقدر]]-TBL_FavorsAndGifts[[#This Row],[الفعلي]])</f>
        <v/>
      </c>
      <c r="F54" s="4"/>
    </row>
    <row r="55" spans="1:6" ht="21" customHeight="1" x14ac:dyDescent="0.25">
      <c r="A55" s="34"/>
      <c r="B55" s="45" t="s">
        <v>58</v>
      </c>
      <c r="C55" s="64">
        <v>200</v>
      </c>
      <c r="D55" s="64"/>
      <c r="E55" s="64" t="str">
        <f>IF(OR(TBL_FavorsAndGifts[[#This Row],[المُقدر]]="",TBL_FavorsAndGifts[[#This Row],[الفعلي]]=""),"",TBL_FavorsAndGifts[[#This Row],[المُقدر]]-TBL_FavorsAndGifts[[#This Row],[الفعلي]])</f>
        <v/>
      </c>
      <c r="F55" s="4"/>
    </row>
    <row r="56" spans="1:6" ht="21" customHeight="1" x14ac:dyDescent="0.25">
      <c r="A56" s="34"/>
      <c r="B56" s="46" t="s">
        <v>29</v>
      </c>
      <c r="C56" s="64">
        <v>200</v>
      </c>
      <c r="D56" s="64"/>
      <c r="E56" s="64" t="str">
        <f>IF(OR(TBL_FavorsAndGifts[[#This Row],[المُقدر]]="",TBL_FavorsAndGifts[[#This Row],[الفعلي]]=""),"",TBL_FavorsAndGifts[[#This Row],[المُقدر]]-TBL_FavorsAndGifts[[#This Row],[الفعلي]])</f>
        <v/>
      </c>
      <c r="F56" s="4"/>
    </row>
    <row r="57" spans="1:6" ht="21" customHeight="1" x14ac:dyDescent="0.25">
      <c r="A57" s="34"/>
      <c r="B57" s="49" t="s">
        <v>59</v>
      </c>
      <c r="C57" s="70">
        <f>SUBTOTAL(109,TBL_FavorsAndGifts[المُقدر])</f>
        <v>1100</v>
      </c>
      <c r="D57" s="70">
        <f>SUBTOTAL(109,TBL_FavorsAndGifts[الفعلي])</f>
        <v>0</v>
      </c>
      <c r="E57" s="70">
        <f>TBL_FavorsAndGifts[[#Totals],[المُقدر]]-TBL_FavorsAndGifts[[#Totals],[الفعلي]]</f>
        <v>1100</v>
      </c>
      <c r="F57" s="4"/>
    </row>
    <row r="58" spans="1:6" ht="21" customHeight="1" x14ac:dyDescent="0.25">
      <c r="A58" s="34"/>
      <c r="B58" s="41"/>
      <c r="C58" s="36"/>
      <c r="D58" s="36"/>
      <c r="E58" s="36"/>
      <c r="F58" s="4"/>
    </row>
    <row r="59" spans="1:6" ht="21" customHeight="1" x14ac:dyDescent="0.25">
      <c r="A59" s="34"/>
      <c r="B59" s="41"/>
      <c r="C59" s="36"/>
      <c r="D59" s="36"/>
      <c r="E59" s="36"/>
      <c r="F59" s="4"/>
    </row>
    <row r="60" spans="1:6" ht="21" customHeight="1" x14ac:dyDescent="0.25">
      <c r="A60" s="34"/>
      <c r="B60" s="43" t="s">
        <v>14</v>
      </c>
      <c r="C60" s="74" t="s">
        <v>81</v>
      </c>
      <c r="D60" s="74" t="s">
        <v>82</v>
      </c>
      <c r="E60" s="75" t="s">
        <v>4</v>
      </c>
      <c r="F60" s="4"/>
    </row>
    <row r="61" spans="1:6" ht="21" customHeight="1" x14ac:dyDescent="0.25">
      <c r="A61" s="34"/>
      <c r="B61" s="44" t="s">
        <v>60</v>
      </c>
      <c r="C61" s="64">
        <v>500</v>
      </c>
      <c r="D61" s="64"/>
      <c r="E61" s="64" t="str">
        <f>IF(OR(TBL_Ceremony[[#This Row],[المُقدر]]="",TBL_Ceremony[[#This Row],[الفعلي]]=""),"",TBL_Ceremony[[#This Row],[المُقدر]]-TBL_Ceremony[[#This Row],[الفعلي]])</f>
        <v/>
      </c>
      <c r="F61" s="4"/>
    </row>
    <row r="62" spans="1:6" ht="21" customHeight="1" x14ac:dyDescent="0.25">
      <c r="A62" s="34"/>
      <c r="B62" s="45" t="s">
        <v>61</v>
      </c>
      <c r="C62" s="64">
        <v>200</v>
      </c>
      <c r="D62" s="64"/>
      <c r="E62" s="64" t="str">
        <f>IF(OR(TBL_Ceremony[[#This Row],[المُقدر]]="",TBL_Ceremony[[#This Row],[الفعلي]]=""),"",TBL_Ceremony[[#This Row],[المُقدر]]-TBL_Ceremony[[#This Row],[الفعلي]])</f>
        <v/>
      </c>
      <c r="F62" s="4"/>
    </row>
    <row r="63" spans="1:6" ht="21" customHeight="1" x14ac:dyDescent="0.25">
      <c r="A63" s="34"/>
      <c r="B63" s="46" t="s">
        <v>29</v>
      </c>
      <c r="C63" s="64">
        <v>100</v>
      </c>
      <c r="D63" s="64"/>
      <c r="E63" s="64" t="str">
        <f>IF(OR(TBL_Ceremony[[#This Row],[المُقدر]]="",TBL_Ceremony[[#This Row],[الفعلي]]=""),"",TBL_Ceremony[[#This Row],[المُقدر]]-TBL_Ceremony[[#This Row],[الفعلي]])</f>
        <v/>
      </c>
      <c r="F63" s="4"/>
    </row>
    <row r="64" spans="1:6" ht="21" customHeight="1" x14ac:dyDescent="0.25">
      <c r="A64" s="34"/>
      <c r="B64" s="49" t="s">
        <v>62</v>
      </c>
      <c r="C64" s="70">
        <f>SUBTOTAL(109,TBL_Ceremony[المُقدر])</f>
        <v>800</v>
      </c>
      <c r="D64" s="70">
        <f>SUBTOTAL(109,TBL_Ceremony[الفعلي])</f>
        <v>0</v>
      </c>
      <c r="E64" s="70">
        <f>TBL_Ceremony[[#Totals],[المُقدر]]-TBL_Ceremony[[#Totals],[الفعلي]]</f>
        <v>800</v>
      </c>
      <c r="F64" s="4"/>
    </row>
    <row r="65" spans="1:6" ht="21" customHeight="1" x14ac:dyDescent="0.25">
      <c r="A65" s="34"/>
      <c r="B65" s="41"/>
      <c r="C65" s="36"/>
      <c r="D65" s="36"/>
      <c r="E65" s="36"/>
      <c r="F65" s="4"/>
    </row>
    <row r="66" spans="1:6" ht="21" customHeight="1" x14ac:dyDescent="0.25">
      <c r="A66" s="34"/>
      <c r="B66" s="41"/>
      <c r="C66" s="36"/>
      <c r="D66" s="36"/>
      <c r="E66" s="36"/>
      <c r="F66" s="4"/>
    </row>
    <row r="67" spans="1:6" ht="21" customHeight="1" x14ac:dyDescent="0.25">
      <c r="A67" s="34"/>
      <c r="B67" s="43" t="s">
        <v>63</v>
      </c>
      <c r="C67" s="74" t="s">
        <v>81</v>
      </c>
      <c r="D67" s="74" t="s">
        <v>82</v>
      </c>
      <c r="E67" s="75" t="s">
        <v>4</v>
      </c>
      <c r="F67" s="4"/>
    </row>
    <row r="68" spans="1:6" ht="21" customHeight="1" x14ac:dyDescent="0.25">
      <c r="A68" s="34"/>
      <c r="B68" s="44" t="s">
        <v>64</v>
      </c>
      <c r="C68" s="64">
        <v>50</v>
      </c>
      <c r="D68" s="64"/>
      <c r="E68" s="64" t="str">
        <f>IF(OR(TBL_Stationery[[#This Row],[المُقدر]]="",TBL_Stationery[[#This Row],[الفعلي]]=""),"",TBL_Stationery[[#This Row],[المُقدر]]-TBL_Stationery[[#This Row],[الفعلي]])</f>
        <v/>
      </c>
      <c r="F68" s="4"/>
    </row>
    <row r="69" spans="1:6" ht="21" customHeight="1" x14ac:dyDescent="0.25">
      <c r="A69" s="34"/>
      <c r="B69" s="45" t="s">
        <v>65</v>
      </c>
      <c r="C69" s="64">
        <v>100</v>
      </c>
      <c r="D69" s="64"/>
      <c r="E69" s="64" t="str">
        <f>IF(OR(TBL_Stationery[[#This Row],[المُقدر]]="",TBL_Stationery[[#This Row],[الفعلي]]=""),"",TBL_Stationery[[#This Row],[المُقدر]]-TBL_Stationery[[#This Row],[الفعلي]])</f>
        <v/>
      </c>
      <c r="F69" s="4"/>
    </row>
    <row r="70" spans="1:6" ht="21" customHeight="1" x14ac:dyDescent="0.25">
      <c r="A70" s="34"/>
      <c r="B70" s="45" t="s">
        <v>66</v>
      </c>
      <c r="C70" s="64">
        <v>50</v>
      </c>
      <c r="D70" s="64"/>
      <c r="E70" s="64" t="str">
        <f>IF(OR(TBL_Stationery[[#This Row],[المُقدر]]="",TBL_Stationery[[#This Row],[الفعلي]]=""),"",TBL_Stationery[[#This Row],[المُقدر]]-TBL_Stationery[[#This Row],[الفعلي]])</f>
        <v/>
      </c>
      <c r="F70" s="4"/>
    </row>
    <row r="71" spans="1:6" ht="21" customHeight="1" x14ac:dyDescent="0.25">
      <c r="A71" s="34"/>
      <c r="B71" s="45" t="s">
        <v>67</v>
      </c>
      <c r="C71" s="64">
        <v>50</v>
      </c>
      <c r="D71" s="64"/>
      <c r="E71" s="64" t="str">
        <f>IF(OR(TBL_Stationery[[#This Row],[المُقدر]]="",TBL_Stationery[[#This Row],[الفعلي]]=""),"",TBL_Stationery[[#This Row],[المُقدر]]-TBL_Stationery[[#This Row],[الفعلي]])</f>
        <v/>
      </c>
      <c r="F71" s="4"/>
    </row>
    <row r="72" spans="1:6" ht="21" customHeight="1" x14ac:dyDescent="0.25">
      <c r="A72" s="34"/>
      <c r="B72" s="45" t="s">
        <v>68</v>
      </c>
      <c r="C72" s="64">
        <v>50</v>
      </c>
      <c r="D72" s="64"/>
      <c r="E72" s="64" t="str">
        <f>IF(OR(TBL_Stationery[[#This Row],[المُقدر]]="",TBL_Stationery[[#This Row],[الفعلي]]=""),"",TBL_Stationery[[#This Row],[المُقدر]]-TBL_Stationery[[#This Row],[الفعلي]])</f>
        <v/>
      </c>
      <c r="F72" s="4"/>
    </row>
    <row r="73" spans="1:6" ht="21" customHeight="1" x14ac:dyDescent="0.25">
      <c r="A73" s="34"/>
      <c r="B73" s="45" t="s">
        <v>69</v>
      </c>
      <c r="C73" s="64">
        <v>50</v>
      </c>
      <c r="D73" s="64"/>
      <c r="E73" s="64" t="str">
        <f>IF(OR(TBL_Stationery[[#This Row],[المُقدر]]="",TBL_Stationery[[#This Row],[الفعلي]]=""),"",TBL_Stationery[[#This Row],[المُقدر]]-TBL_Stationery[[#This Row],[الفعلي]])</f>
        <v/>
      </c>
      <c r="F73" s="4"/>
    </row>
    <row r="74" spans="1:6" ht="21" customHeight="1" x14ac:dyDescent="0.25">
      <c r="A74" s="34"/>
      <c r="B74" s="45" t="s">
        <v>70</v>
      </c>
      <c r="C74" s="64">
        <v>50</v>
      </c>
      <c r="D74" s="64"/>
      <c r="E74" s="64" t="str">
        <f>IF(OR(TBL_Stationery[[#This Row],[المُقدر]]="",TBL_Stationery[[#This Row],[الفعلي]]=""),"",TBL_Stationery[[#This Row],[المُقدر]]-TBL_Stationery[[#This Row],[الفعلي]])</f>
        <v/>
      </c>
      <c r="F74" s="4"/>
    </row>
    <row r="75" spans="1:6" ht="21" customHeight="1" x14ac:dyDescent="0.25">
      <c r="A75" s="34"/>
      <c r="B75" s="46" t="s">
        <v>29</v>
      </c>
      <c r="C75" s="64">
        <v>100</v>
      </c>
      <c r="D75" s="64"/>
      <c r="E75" s="64" t="str">
        <f>IF(OR(TBL_Stationery[[#This Row],[المُقدر]]="",TBL_Stationery[[#This Row],[الفعلي]]=""),"",TBL_Stationery[[#This Row],[المُقدر]]-TBL_Stationery[[#This Row],[الفعلي]])</f>
        <v/>
      </c>
      <c r="F75" s="4"/>
    </row>
    <row r="76" spans="1:6" ht="21" customHeight="1" x14ac:dyDescent="0.25">
      <c r="A76" s="34"/>
      <c r="B76" s="49" t="s">
        <v>71</v>
      </c>
      <c r="C76" s="70">
        <f>SUBTOTAL(109,TBL_Stationery[المُقدر])</f>
        <v>500</v>
      </c>
      <c r="D76" s="70">
        <f>SUBTOTAL(109,TBL_Stationery[الفعلي])</f>
        <v>0</v>
      </c>
      <c r="E76" s="70">
        <f>TBL_Stationery[[#Totals],[المُقدر]]-TBL_Stationery[[#Totals],[الفعلي]]</f>
        <v>500</v>
      </c>
      <c r="F76" s="4"/>
    </row>
    <row r="77" spans="1:6" ht="21" customHeight="1" x14ac:dyDescent="0.25">
      <c r="A77" s="34"/>
      <c r="B77" s="41"/>
      <c r="C77" s="36"/>
      <c r="D77" s="36"/>
      <c r="E77" s="36"/>
      <c r="F77" s="4"/>
    </row>
    <row r="78" spans="1:6" ht="21" customHeight="1" x14ac:dyDescent="0.25">
      <c r="A78" s="34"/>
      <c r="B78" s="41"/>
      <c r="C78" s="36"/>
      <c r="D78" s="36"/>
      <c r="E78" s="36"/>
      <c r="F78" s="4"/>
    </row>
    <row r="79" spans="1:6" ht="21" customHeight="1" x14ac:dyDescent="0.25">
      <c r="A79" s="34"/>
      <c r="B79" s="43" t="s">
        <v>16</v>
      </c>
      <c r="C79" s="74" t="s">
        <v>81</v>
      </c>
      <c r="D79" s="74" t="s">
        <v>82</v>
      </c>
      <c r="E79" s="75" t="s">
        <v>4</v>
      </c>
      <c r="F79" s="4"/>
    </row>
    <row r="80" spans="1:6" ht="21" customHeight="1" x14ac:dyDescent="0.25">
      <c r="A80" s="34"/>
      <c r="B80" s="50" t="s">
        <v>16</v>
      </c>
      <c r="C80" s="65">
        <v>1000</v>
      </c>
      <c r="D80" s="65"/>
      <c r="E80" s="65" t="str">
        <f>IF(OR(TBL_WeddingRings[[#This Row],[المُقدر]]="",TBL_WeddingRings[[#This Row],[الفعلي]]=""),"",TBL_WeddingRings[[#This Row],[المُقدر]]-TBL_WeddingRings[[#This Row],[الفعلي]])</f>
        <v/>
      </c>
      <c r="F80" s="4"/>
    </row>
    <row r="81" spans="1:6" ht="21" customHeight="1" x14ac:dyDescent="0.25">
      <c r="A81" s="34"/>
      <c r="B81" s="51" t="s">
        <v>72</v>
      </c>
      <c r="C81" s="65">
        <v>100</v>
      </c>
      <c r="D81" s="65"/>
      <c r="E81" s="65" t="str">
        <f>IF(OR(TBL_WeddingRings[[#This Row],[المُقدر]]="",TBL_WeddingRings[[#This Row],[الفعلي]]=""),"",TBL_WeddingRings[[#This Row],[المُقدر]]-TBL_WeddingRings[[#This Row],[الفعلي]])</f>
        <v/>
      </c>
      <c r="F81" s="4"/>
    </row>
    <row r="82" spans="1:6" ht="21" customHeight="1" x14ac:dyDescent="0.25">
      <c r="A82" s="34"/>
      <c r="B82" s="49" t="s">
        <v>73</v>
      </c>
      <c r="C82" s="70">
        <f>SUBTOTAL(109,TBL_WeddingRings[المُقدر])</f>
        <v>1100</v>
      </c>
      <c r="D82" s="70">
        <f>SUBTOTAL(109,TBL_WeddingRings[الفعلي])</f>
        <v>0</v>
      </c>
      <c r="E82" s="70">
        <f>TBL_WeddingRings[[#Totals],[المُقدر]]-TBL_WeddingRings[[#Totals],[الفعلي]]</f>
        <v>1100</v>
      </c>
      <c r="F82" s="4"/>
    </row>
    <row r="83" spans="1:6" ht="21" customHeight="1" x14ac:dyDescent="0.25">
      <c r="A83" s="34"/>
      <c r="B83" s="41"/>
      <c r="C83" s="36"/>
      <c r="D83" s="36"/>
      <c r="E83" s="36"/>
      <c r="F83" s="4"/>
    </row>
    <row r="84" spans="1:6" ht="21" customHeight="1" x14ac:dyDescent="0.25">
      <c r="A84" s="34"/>
      <c r="B84" s="41"/>
      <c r="C84" s="36"/>
      <c r="D84" s="36"/>
      <c r="E84" s="36"/>
      <c r="F84" s="4"/>
    </row>
    <row r="85" spans="1:6" ht="21" customHeight="1" x14ac:dyDescent="0.25">
      <c r="A85" s="34"/>
      <c r="B85" s="43" t="s">
        <v>74</v>
      </c>
      <c r="C85" s="74" t="s">
        <v>81</v>
      </c>
      <c r="D85" s="74" t="s">
        <v>82</v>
      </c>
      <c r="E85" s="75" t="s">
        <v>4</v>
      </c>
      <c r="F85" s="4"/>
    </row>
    <row r="86" spans="1:6" ht="21" customHeight="1" x14ac:dyDescent="0.25">
      <c r="A86" s="34"/>
      <c r="B86" s="44" t="s">
        <v>75</v>
      </c>
      <c r="C86" s="64">
        <v>100</v>
      </c>
      <c r="D86" s="64"/>
      <c r="E86" s="64" t="str">
        <f>IF(OR(TBL_Transportation[[#This Row],[المُقدر]]="",TBL_Transportation[[#This Row],[الفعلي]]=""),"",TBL_Transportation[[#This Row],[المُقدر]]-TBL_Transportation[[#This Row],[الفعلي]])</f>
        <v/>
      </c>
      <c r="F86" s="4"/>
    </row>
    <row r="87" spans="1:6" ht="21" customHeight="1" x14ac:dyDescent="0.25">
      <c r="A87" s="34"/>
      <c r="B87" s="45" t="s">
        <v>76</v>
      </c>
      <c r="C87" s="64">
        <v>100</v>
      </c>
      <c r="D87" s="64"/>
      <c r="E87" s="64" t="str">
        <f>IF(OR(TBL_Transportation[[#This Row],[المُقدر]]="",TBL_Transportation[[#This Row],[الفعلي]]=""),"",TBL_Transportation[[#This Row],[المُقدر]]-TBL_Transportation[[#This Row],[الفعلي]])</f>
        <v/>
      </c>
      <c r="F87" s="4"/>
    </row>
    <row r="88" spans="1:6" ht="21" customHeight="1" x14ac:dyDescent="0.25">
      <c r="A88" s="34"/>
      <c r="B88" s="45" t="s">
        <v>77</v>
      </c>
      <c r="C88" s="64">
        <v>100</v>
      </c>
      <c r="D88" s="64"/>
      <c r="E88" s="64" t="str">
        <f>IF(OR(TBL_Transportation[[#This Row],[المُقدر]]="",TBL_Transportation[[#This Row],[الفعلي]]=""),"",TBL_Transportation[[#This Row],[المُقدر]]-TBL_Transportation[[#This Row],[الفعلي]])</f>
        <v/>
      </c>
      <c r="F88" s="4"/>
    </row>
    <row r="89" spans="1:6" ht="21" customHeight="1" x14ac:dyDescent="0.25">
      <c r="A89" s="34"/>
      <c r="B89" s="45" t="s">
        <v>78</v>
      </c>
      <c r="C89" s="64">
        <v>50</v>
      </c>
      <c r="D89" s="64"/>
      <c r="E89" s="64" t="str">
        <f>IF(OR(TBL_Transportation[[#This Row],[المُقدر]]="",TBL_Transportation[[#This Row],[الفعلي]]=""),"",TBL_Transportation[[#This Row],[المُقدر]]-TBL_Transportation[[#This Row],[الفعلي]])</f>
        <v/>
      </c>
      <c r="F89" s="4"/>
    </row>
    <row r="90" spans="1:6" ht="21" customHeight="1" x14ac:dyDescent="0.25">
      <c r="A90" s="34"/>
      <c r="B90" s="46" t="s">
        <v>29</v>
      </c>
      <c r="C90" s="64">
        <v>100</v>
      </c>
      <c r="D90" s="64"/>
      <c r="E90" s="64" t="str">
        <f>IF(OR(TBL_Transportation[[#This Row],[المُقدر]]="",TBL_Transportation[[#This Row],[الفعلي]]=""),"",TBL_Transportation[[#This Row],[المُقدر]]-TBL_Transportation[[#This Row],[الفعلي]])</f>
        <v/>
      </c>
      <c r="F90" s="4"/>
    </row>
    <row r="91" spans="1:6" ht="21" customHeight="1" x14ac:dyDescent="0.25">
      <c r="B91" s="49" t="s">
        <v>79</v>
      </c>
      <c r="C91" s="70">
        <f>SUBTOTAL(109,TBL_Transportation[المُقدر])</f>
        <v>450</v>
      </c>
      <c r="D91" s="70">
        <f>SUBTOTAL(109,TBL_Transportation[الفعلي])</f>
        <v>0</v>
      </c>
      <c r="E91" s="70">
        <f>TBL_Transportation[[#Totals],[المُقدر]]-TBL_Transportation[[#Totals],[الفعلي]]</f>
        <v>450</v>
      </c>
    </row>
    <row r="92" spans="1:6" ht="21" customHeight="1" x14ac:dyDescent="0.25">
      <c r="B92" s="53"/>
    </row>
    <row r="93" spans="1:6" ht="21" customHeight="1" x14ac:dyDescent="0.25">
      <c r="B93" s="53"/>
    </row>
    <row r="94" spans="1:6" ht="21" customHeight="1" x14ac:dyDescent="0.25">
      <c r="B94" s="53"/>
    </row>
  </sheetData>
  <dataValidations count="1">
    <dataValidation allowBlank="1" showInputMessage="1" showErrorMessage="1" prompt="قم بإضافة بنود مصروفات محددة أو تحريرها لكل فئة._x000a__x000a_Enter التكاليف المقدرة والتكاليف الفعلية. يتم تلقائيًا حساب أعمدة التباين وصفوف الإجمالي." sqref="A1" xr:uid="{00000000-0002-0000-0100-000000000000}"/>
  </dataValidations>
  <printOptions horizontalCentered="1"/>
  <pageMargins left="0.7" right="0.7" top="0.75" bottom="0.75" header="0.3" footer="0.3"/>
  <pageSetup paperSize="9" orientation="portrait" r:id="rId1"/>
  <rowBreaks count="2" manualBreakCount="2">
    <brk id="34" max="16383" man="1"/>
    <brk id="65" max="16383" man="1"/>
  </rowBreaks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26e97fa315356fffbdcd9876fe988c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14b8f0def80e6d70ce3def20c90759a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4524A9-AAD4-4D89-AE3F-C59CD6152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2A0F02-85C8-4B8F-89D8-668D4E6F9B82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3.xml><?xml version="1.0" encoding="utf-8"?>
<ds:datastoreItem xmlns:ds="http://schemas.openxmlformats.org/officeDocument/2006/customXml" ds:itemID="{46223853-B9DB-43C6-BAAA-5E1EE7156A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2</vt:i4>
      </vt:variant>
      <vt:variant>
        <vt:lpstr>النطاقات المسماة</vt:lpstr>
      </vt:variant>
      <vt:variant>
        <vt:i4>2</vt:i4>
      </vt:variant>
    </vt:vector>
  </HeadingPairs>
  <TitlesOfParts>
    <vt:vector size="4" baseType="lpstr">
      <vt:lpstr>موازنة حفل الزفاف</vt:lpstr>
      <vt:lpstr>تفاصيل الموازنة</vt:lpstr>
      <vt:lpstr>'تفاصيل الموازنة'!Print_Titles</vt:lpstr>
      <vt:lpstr>TBL_RankingData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2020-06-09T06:03:15Z</dcterms:created>
  <dcterms:modified xsi:type="dcterms:W3CDTF">2021-07-21T16:49:54Z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