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JPG" ContentType="image/.jpg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harts/chart1.xml" ContentType="application/vnd.openxmlformats-officedocument.drawingml.chart+xml"/>
  <Override PartName="/xl/charts/colors1.xml" ContentType="application/vnd.ms-office.chartcolorstyle+xml"/>
  <Override PartName="/xl/charts/style1.xml" ContentType="application/vnd.ms-office.chartstyle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0490" windowHeight="7815"/>
  </bookViews>
  <sheets>
    <sheet name="موازنة حفل الزفاف" sheetId="1" r:id="rId1"/>
    <sheet name="تفاصيل الموازنة" sheetId="2" r:id="rId2"/>
  </sheets>
  <definedNames>
    <definedName name="_xlnm.Print_Titles" localSheetId="1">'تفاصيل الموازنة'!$1:$3</definedName>
    <definedName name="TBL_RankingData">'موازنة حفل الزفاف'!$J$6:$N$15</definedName>
  </definedNames>
  <calcPr calcId="144525"/>
</workbook>
</file>

<file path=xl/sharedStrings.xml><?xml version="1.0" encoding="utf-8"?>
<sst xmlns="http://schemas.openxmlformats.org/spreadsheetml/2006/main" count="128" uniqueCount="84">
  <si>
    <t xml:space="preserve"> </t>
  </si>
  <si>
    <r>
      <rPr>
        <b/>
        <sz val="28"/>
        <color theme="3"/>
        <rFont val="Tahoma"/>
        <charset val="134"/>
      </rPr>
      <t>LISHA</t>
    </r>
    <r>
      <rPr>
        <b/>
        <sz val="28"/>
        <color theme="1"/>
        <rFont val="Tahoma"/>
        <charset val="134"/>
      </rPr>
      <t xml:space="preserve"> +</t>
    </r>
    <r>
      <rPr>
        <b/>
        <sz val="28"/>
        <color theme="3"/>
        <rFont val="Tahoma"/>
        <charset val="134"/>
      </rPr>
      <t xml:space="preserve"> DANIEL</t>
    </r>
    <r>
      <rPr>
        <b/>
        <sz val="11"/>
        <color theme="1" tint="0.149998474074526"/>
        <rFont val="Tahoma"/>
        <charset val="134"/>
      </rPr>
      <t xml:space="preserve">
</t>
    </r>
    <r>
      <rPr>
        <b/>
        <sz val="32"/>
        <color theme="1"/>
        <rFont val="Tahoma"/>
        <charset val="134"/>
      </rPr>
      <t>ربط العقدة</t>
    </r>
  </si>
  <si>
    <t>الفئة</t>
  </si>
  <si>
    <t>"التكلفة المقدرة"</t>
  </si>
  <si>
    <t>التكلفة الفعلية</t>
  </si>
  <si>
    <t>نسبة الفرق</t>
  </si>
  <si>
    <t>الميزانية %</t>
  </si>
  <si>
    <t>غير مصنّف</t>
  </si>
  <si>
    <t>التكاليف المقدرة</t>
  </si>
  <si>
    <t>التكاليف الفعلية</t>
  </si>
  <si>
    <t>التكلفة المقدرة - قيمة الترتيب</t>
  </si>
  <si>
    <t>الترتيب</t>
  </si>
  <si>
    <t>الرقم</t>
  </si>
  <si>
    <t>مرتّبة</t>
  </si>
  <si>
    <t>الاستقبال</t>
  </si>
  <si>
    <t>الملابس</t>
  </si>
  <si>
    <t>الأزهار والزخرفة</t>
  </si>
  <si>
    <t>الموسيقى</t>
  </si>
  <si>
    <t>الصور الفوتوغرافية والفيديو</t>
  </si>
  <si>
    <t>هدايا حفل الزواج والهدايا</t>
  </si>
  <si>
    <t>الحفل</t>
  </si>
  <si>
    <t>الخطابات</t>
  </si>
  <si>
    <t>خواتم الزواج</t>
  </si>
  <si>
    <t>وسائل النقل</t>
  </si>
  <si>
    <t>الإجمالي</t>
  </si>
  <si>
    <t>تفاصيل الموازنة</t>
  </si>
  <si>
    <t>مُقدر</t>
  </si>
  <si>
    <t>الفعلي</t>
  </si>
  <si>
    <t>مكان الدعوى والإيجارات</t>
  </si>
  <si>
    <t>الطعام والخدمة</t>
  </si>
  <si>
    <t>المشروبات</t>
  </si>
  <si>
    <t>الكعكة</t>
  </si>
  <si>
    <t>مصاريف متنوعة</t>
  </si>
  <si>
    <t>إجمالي حفل الاستقبال</t>
  </si>
  <si>
    <t>المُقدر</t>
  </si>
  <si>
    <t>التكس و/أو البدلة و/أو الفساتين</t>
  </si>
  <si>
    <t>التعديلات</t>
  </si>
  <si>
    <t>غطاء الرأس والوشاح</t>
  </si>
  <si>
    <t>الملحقات</t>
  </si>
  <si>
    <t>الشعر والتجميل</t>
  </si>
  <si>
    <t>مجموع ATTIRE</t>
  </si>
  <si>
    <t>ترتيبات الزهور للحفل</t>
  </si>
  <si>
    <t>عصابة من الورد للفتيات الصغيرات وسلة</t>
  </si>
  <si>
    <t>وسادة الخاتم</t>
  </si>
  <si>
    <t>باقات الزهور</t>
  </si>
  <si>
    <t>ورود البذلات</t>
  </si>
  <si>
    <t>الزهور الصغيرة للعروس والأصدقاء</t>
  </si>
  <si>
    <t>زينة قاعة الاستقبال</t>
  </si>
  <si>
    <t>الإضاءة</t>
  </si>
  <si>
    <t>مجمموع الزهور والديكورات</t>
  </si>
  <si>
    <t>موسيقيون الحفل</t>
  </si>
  <si>
    <t>موسيقيون ساعة الكوكتيل</t>
  </si>
  <si>
    <t>فرقة الاستقبال أو موسيقى (الديجي) أو الترفيه</t>
  </si>
  <si>
    <t>استئجار نظام الصوت أو قاعة الرقص</t>
  </si>
  <si>
    <t>إجمالي الموسيقي</t>
  </si>
  <si>
    <t>التصوير الفوتوغرافي والفيديو</t>
  </si>
  <si>
    <t>التصوير</t>
  </si>
  <si>
    <t>تصوير الفيديو</t>
  </si>
  <si>
    <t>مطبوعات وألبومات إضافية</t>
  </si>
  <si>
    <t>إجمالي التصوير والفيديو</t>
  </si>
  <si>
    <t>المنح والهدايا</t>
  </si>
  <si>
    <t>هدايا الترحيب</t>
  </si>
  <si>
    <t>هدايا الحفلة</t>
  </si>
  <si>
    <t>إجمالي الهدايا</t>
  </si>
  <si>
    <t>رسوم الموقع</t>
  </si>
  <si>
    <t>رسوم الشيخ/الكاهن أو التبرع للجامع/الكنيسة</t>
  </si>
  <si>
    <t>مجموع الحفل</t>
  </si>
  <si>
    <t>ثابت</t>
  </si>
  <si>
    <t>بطاقات "حفظ التاريخ"</t>
  </si>
  <si>
    <t>الدعوات وطلبات الاستجابة</t>
  </si>
  <si>
    <t>برنامج الحفل</t>
  </si>
  <si>
    <t>بطاقات الجلوس والمكان</t>
  </si>
  <si>
    <t>بطاقات القوائم</t>
  </si>
  <si>
    <t>ملاحظات الشكر</t>
  </si>
  <si>
    <t>رسوم البريد</t>
  </si>
  <si>
    <t>المجموع الكلي للقرطاسية</t>
  </si>
  <si>
    <t>ملحقات الخاتم</t>
  </si>
  <si>
    <t>مجموع خواتم الزفاف</t>
  </si>
  <si>
    <t xml:space="preserve">وسيلة النقل  </t>
  </si>
  <si>
    <t>إيجار السيارة الرئيسية</t>
  </si>
  <si>
    <t>إيجار سيارات الضيوف</t>
  </si>
  <si>
    <t>وسائل النقل للضيوف خارج المدينة</t>
  </si>
  <si>
    <t>خدمة صف السيارات</t>
  </si>
  <si>
    <t>إجمالي النقل</t>
  </si>
</sst>
</file>

<file path=xl/styles.xml><?xml version="1.0" encoding="utf-8"?>
<styleSheet xmlns="http://schemas.openxmlformats.org/spreadsheetml/2006/main">
  <numFmts count="8">
    <numFmt numFmtId="176" formatCode="&quot;ر.س.‏&quot;\ #,##0.00_-;[Red]&quot;ر.س.‏&quot;\ #,##0.00\-"/>
    <numFmt numFmtId="177" formatCode="_-* #,##0_-;_-* #,##0\-;_-* &quot;-&quot;_-;_-@_-"/>
    <numFmt numFmtId="178" formatCode="_-* #,##0.00_-;_-* #,##0.00\-;_-* &quot;-&quot;??_-;_-@_-"/>
    <numFmt numFmtId="179" formatCode="_-&quot;ر.س.‏&quot;\ * #,##0.00_-;_-&quot;ر.س.‏&quot;\ * #,##0.00\-;_-&quot;ر.س.‏&quot;\ * &quot;-&quot;??_-;_-@_-"/>
    <numFmt numFmtId="180" formatCode="&quot;$&quot;#,##0.00_);[Red]\(&quot;$&quot;#,##0.00\)"/>
    <numFmt numFmtId="181" formatCode="_-&quot;ر.س.‏&quot;\ * #,##0_-;_-&quot;ر.س.‏&quot;\ * #,##0\-;_-&quot;ر.س.‏&quot;\ * &quot;-&quot;_-;_-@_-"/>
    <numFmt numFmtId="182" formatCode="&quot;ر.س.‏&quot;\ #,##0_-;[Red]&quot;ر.س.‏&quot;\ #,##0\-"/>
    <numFmt numFmtId="183" formatCode="0.0%"/>
  </numFmts>
  <fonts count="39">
    <font>
      <sz val="11"/>
      <color theme="1"/>
      <name val="Tahoma"/>
      <charset val="134"/>
    </font>
    <font>
      <b/>
      <sz val="28"/>
      <color theme="1" tint="0.149998474074526"/>
      <name val="Tahoma"/>
      <charset val="134"/>
    </font>
    <font>
      <sz val="11"/>
      <color theme="1" tint="0.149998474074526"/>
      <name val="Tahoma"/>
      <charset val="134"/>
    </font>
    <font>
      <sz val="10"/>
      <color theme="1" tint="0.149998474074526"/>
      <name val="Tahoma"/>
      <charset val="134"/>
    </font>
    <font>
      <b/>
      <sz val="36"/>
      <color theme="3"/>
      <name val="Tahoma"/>
      <charset val="134"/>
    </font>
    <font>
      <b/>
      <sz val="16"/>
      <color theme="3"/>
      <name val="Tahoma"/>
      <charset val="134"/>
    </font>
    <font>
      <b/>
      <sz val="10"/>
      <color theme="3"/>
      <name val="Tahoma"/>
      <charset val="134"/>
    </font>
    <font>
      <sz val="10"/>
      <color theme="1"/>
      <name val="Tahoma"/>
      <charset val="134"/>
    </font>
    <font>
      <b/>
      <sz val="11"/>
      <color theme="3"/>
      <name val="Tahoma"/>
      <charset val="134"/>
    </font>
    <font>
      <sz val="11"/>
      <color theme="0"/>
      <name val="Tahoma"/>
      <charset val="134"/>
    </font>
    <font>
      <sz val="10"/>
      <color rgb="FF43646B"/>
      <name val="Tahoma"/>
      <charset val="134"/>
    </font>
    <font>
      <sz val="11"/>
      <color rgb="FF43646B"/>
      <name val="Tahoma"/>
      <charset val="134"/>
    </font>
    <font>
      <sz val="11"/>
      <color theme="4" tint="-0.249977111117893"/>
      <name val="Tahoma"/>
      <charset val="134"/>
    </font>
    <font>
      <b/>
      <sz val="11"/>
      <color theme="1" tint="0.149998474074526"/>
      <name val="Tahoma"/>
      <charset val="134"/>
    </font>
    <font>
      <sz val="8"/>
      <color theme="1" tint="0.149998474074526"/>
      <name val="Tahoma"/>
      <charset val="134"/>
    </font>
    <font>
      <b/>
      <sz val="14"/>
      <color rgb="FF17A1AB"/>
      <name val="Tahoma"/>
      <charset val="134"/>
    </font>
    <font>
      <b/>
      <sz val="9"/>
      <color rgb="FF818B8A"/>
      <name val="Tahoma"/>
      <charset val="134"/>
    </font>
    <font>
      <b/>
      <sz val="11"/>
      <color theme="4" tint="-0.249977111117893"/>
      <name val="Tahoma"/>
      <charset val="134"/>
    </font>
    <font>
      <sz val="11"/>
      <color theme="1"/>
      <name val="Franklin Gothic Book"/>
      <charset val="0"/>
      <scheme val="minor"/>
    </font>
    <font>
      <sz val="11"/>
      <color rgb="FF9C5700"/>
      <name val="Tahoma"/>
      <charset val="134"/>
    </font>
    <font>
      <sz val="11"/>
      <color theme="0"/>
      <name val="Franklin Gothic Book"/>
      <charset val="0"/>
      <scheme val="minor"/>
    </font>
    <font>
      <b/>
      <sz val="11"/>
      <color theme="0"/>
      <name val="Tahoma"/>
      <charset val="134"/>
    </font>
    <font>
      <u/>
      <sz val="11"/>
      <color rgb="FF0000FF"/>
      <name val="Franklin Gothic Book"/>
      <charset val="0"/>
      <scheme val="minor"/>
    </font>
    <font>
      <u/>
      <sz val="11"/>
      <color rgb="FF800080"/>
      <name val="Franklin Gothic Book"/>
      <charset val="0"/>
      <scheme val="minor"/>
    </font>
    <font>
      <b/>
      <sz val="13"/>
      <color theme="3"/>
      <name val="Tahoma"/>
      <charset val="134"/>
    </font>
    <font>
      <sz val="11"/>
      <color rgb="FF9C0006"/>
      <name val="Tahoma"/>
      <charset val="134"/>
    </font>
    <font>
      <b/>
      <sz val="11"/>
      <color rgb="FF3F3F3F"/>
      <name val="Tahoma"/>
      <charset val="134"/>
    </font>
    <font>
      <sz val="11"/>
      <color rgb="FFFF0000"/>
      <name val="Tahoma"/>
      <charset val="134"/>
    </font>
    <font>
      <sz val="18"/>
      <color theme="3"/>
      <name val="Tahoma"/>
      <charset val="134"/>
    </font>
    <font>
      <i/>
      <sz val="11"/>
      <color rgb="FF7F7F7F"/>
      <name val="Tahoma"/>
      <charset val="134"/>
    </font>
    <font>
      <b/>
      <sz val="15"/>
      <color theme="3"/>
      <name val="Tahoma"/>
      <charset val="134"/>
    </font>
    <font>
      <sz val="11"/>
      <color rgb="FF006100"/>
      <name val="Tahoma"/>
      <charset val="134"/>
    </font>
    <font>
      <sz val="11"/>
      <color rgb="FF3F3F76"/>
      <name val="Tahoma"/>
      <charset val="134"/>
    </font>
    <font>
      <b/>
      <sz val="11"/>
      <color rgb="FFFA7D00"/>
      <name val="Tahoma"/>
      <charset val="134"/>
    </font>
    <font>
      <sz val="11"/>
      <color rgb="FFFA7D00"/>
      <name val="Tahoma"/>
      <charset val="134"/>
    </font>
    <font>
      <b/>
      <sz val="11"/>
      <color theme="1"/>
      <name val="Tahoma"/>
      <charset val="134"/>
    </font>
    <font>
      <b/>
      <sz val="28"/>
      <color theme="3"/>
      <name val="Tahoma"/>
      <charset val="134"/>
    </font>
    <font>
      <b/>
      <sz val="28"/>
      <color theme="1"/>
      <name val="Tahoma"/>
      <charset val="134"/>
    </font>
    <font>
      <b/>
      <sz val="32"/>
      <color theme="1"/>
      <name val="Tahoma"/>
      <charset val="134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</fills>
  <borders count="23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 tint="-0.0499893185216834"/>
      </right>
      <top/>
      <bottom/>
      <diagonal/>
    </border>
    <border>
      <left/>
      <right/>
      <top/>
      <bottom style="medium">
        <color theme="4" tint="0.399975585192419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readingOrder="2"/>
    </xf>
    <xf numFmtId="0" fontId="18" fillId="6" borderId="0" applyNumberFormat="0" applyBorder="0" applyAlignment="0" applyProtection="0">
      <alignment vertical="center"/>
    </xf>
    <xf numFmtId="178" fontId="0" fillId="0" borderId="0" applyFill="0" applyBorder="0" applyAlignment="0" applyProtection="0"/>
    <xf numFmtId="177" fontId="0" fillId="0" borderId="0" applyFill="0" applyBorder="0" applyAlignment="0" applyProtection="0"/>
    <xf numFmtId="181" fontId="0" fillId="0" borderId="0" applyFill="0" applyBorder="0" applyAlignment="0" applyProtection="0"/>
    <xf numFmtId="179" fontId="0" fillId="0" borderId="0" applyFill="0" applyBorder="0" applyAlignment="0" applyProtection="0"/>
    <xf numFmtId="9" fontId="0" fillId="0" borderId="0" applyFill="0" applyBorder="0" applyAlignment="0" applyProtection="0"/>
    <xf numFmtId="0" fontId="22" fillId="0" borderId="0" applyNumberFormat="0" applyFill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1" fillId="8" borderId="15" applyNumberFormat="0" applyAlignment="0" applyProtection="0"/>
    <xf numFmtId="0" fontId="24" fillId="0" borderId="16" applyNumberFormat="0" applyFill="0" applyAlignment="0" applyProtection="0"/>
    <xf numFmtId="0" fontId="0" fillId="10" borderId="17" applyNumberFormat="0" applyAlignment="0" applyProtection="0"/>
    <xf numFmtId="0" fontId="18" fillId="1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/>
    <xf numFmtId="0" fontId="18" fillId="7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19" applyNumberFormat="0" applyFill="0" applyAlignment="0" applyProtection="0"/>
    <xf numFmtId="0" fontId="8" fillId="0" borderId="14" applyNumberFormat="0" applyFill="0" applyAlignment="0" applyProtection="0"/>
    <xf numFmtId="0" fontId="8" fillId="0" borderId="0" applyNumberFormat="0" applyFill="0" applyBorder="0" applyAlignment="0" applyProtection="0"/>
    <xf numFmtId="0" fontId="32" fillId="21" borderId="20" applyNumberFormat="0" applyAlignment="0" applyProtection="0"/>
    <xf numFmtId="0" fontId="20" fillId="5" borderId="0" applyNumberFormat="0" applyBorder="0" applyAlignment="0" applyProtection="0">
      <alignment vertical="center"/>
    </xf>
    <xf numFmtId="0" fontId="31" fillId="20" borderId="0" applyNumberFormat="0" applyBorder="0" applyAlignment="0" applyProtection="0"/>
    <xf numFmtId="0" fontId="26" fillId="13" borderId="18" applyNumberFormat="0" applyAlignment="0" applyProtection="0"/>
    <xf numFmtId="0" fontId="18" fillId="3" borderId="0" applyNumberFormat="0" applyBorder="0" applyAlignment="0" applyProtection="0">
      <alignment vertical="center"/>
    </xf>
    <xf numFmtId="0" fontId="33" fillId="13" borderId="20" applyNumberFormat="0" applyAlignment="0" applyProtection="0"/>
    <xf numFmtId="0" fontId="34" fillId="0" borderId="21" applyNumberFormat="0" applyFill="0" applyAlignment="0" applyProtection="0"/>
    <xf numFmtId="0" fontId="35" fillId="0" borderId="22" applyNumberFormat="0" applyFill="0" applyAlignment="0" applyProtection="0"/>
    <xf numFmtId="0" fontId="25" fillId="12" borderId="0" applyNumberFormat="0" applyBorder="0" applyAlignment="0" applyProtection="0"/>
    <xf numFmtId="0" fontId="19" fillId="4" borderId="0" applyNumberFormat="0" applyBorder="0" applyAlignment="0" applyProtection="0"/>
    <xf numFmtId="0" fontId="20" fillId="26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</cellStyleXfs>
  <cellXfs count="76">
    <xf numFmtId="0" fontId="0" fillId="0" borderId="0" xfId="0">
      <alignment readingOrder="2"/>
    </xf>
    <xf numFmtId="0" fontId="1" fillId="0" borderId="0" xfId="0" applyFont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 indent="1"/>
    </xf>
    <xf numFmtId="180" fontId="2" fillId="0" borderId="0" xfId="0" applyNumberFormat="1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 readingOrder="2"/>
    </xf>
    <xf numFmtId="0" fontId="3" fillId="0" borderId="0" xfId="0" applyFont="1" applyFill="1" applyAlignment="1">
      <alignment horizontal="right" vertical="center" indent="1" readingOrder="2"/>
    </xf>
    <xf numFmtId="180" fontId="2" fillId="0" borderId="0" xfId="0" applyNumberFormat="1" applyFont="1" applyFill="1" applyAlignment="1">
      <alignment horizontal="center" vertical="center" readingOrder="2"/>
    </xf>
    <xf numFmtId="0" fontId="2" fillId="0" borderId="0" xfId="0" applyFont="1" applyAlignment="1">
      <alignment horizontal="right" vertical="center" readingOrder="2"/>
    </xf>
    <xf numFmtId="0" fontId="1" fillId="0" borderId="0" xfId="0" applyFont="1" applyFill="1" applyAlignment="1">
      <alignment horizontal="right" vertical="center" readingOrder="2"/>
    </xf>
    <xf numFmtId="0" fontId="4" fillId="0" borderId="0" xfId="0" applyFont="1" applyFill="1" applyBorder="1" applyAlignment="1">
      <alignment horizontal="right" vertical="center" readingOrder="2"/>
    </xf>
    <xf numFmtId="180" fontId="1" fillId="0" borderId="0" xfId="0" applyNumberFormat="1" applyFont="1" applyFill="1" applyBorder="1" applyAlignment="1">
      <alignment horizontal="right" vertical="center" readingOrder="2"/>
    </xf>
    <xf numFmtId="0" fontId="1" fillId="0" borderId="0" xfId="0" applyFont="1" applyAlignment="1">
      <alignment horizontal="right" vertical="center" readingOrder="2"/>
    </xf>
    <xf numFmtId="0" fontId="2" fillId="0" borderId="0" xfId="0" applyFont="1" applyFill="1" applyBorder="1" applyAlignment="1">
      <alignment horizontal="center" vertical="center" readingOrder="2"/>
    </xf>
    <xf numFmtId="0" fontId="3" fillId="0" borderId="0" xfId="0" applyFont="1" applyFill="1" applyBorder="1" applyAlignment="1">
      <alignment horizontal="right" vertical="center" indent="1" readingOrder="2"/>
    </xf>
    <xf numFmtId="180" fontId="2" fillId="0" borderId="0" xfId="0" applyNumberFormat="1" applyFont="1" applyFill="1" applyBorder="1" applyAlignment="1">
      <alignment horizontal="center" vertical="center" readingOrder="2"/>
    </xf>
    <xf numFmtId="0" fontId="2" fillId="0" borderId="0" xfId="0" applyFont="1" applyAlignment="1">
      <alignment horizontal="center" vertical="center" readingOrder="2"/>
    </xf>
    <xf numFmtId="0" fontId="5" fillId="0" borderId="1" xfId="0" applyFont="1" applyFill="1" applyBorder="1" applyAlignment="1">
      <alignment horizontal="right" vertical="center" indent="1" readingOrder="2"/>
    </xf>
    <xf numFmtId="176" fontId="6" fillId="0" borderId="2" xfId="0" applyNumberFormat="1" applyFont="1" applyFill="1" applyBorder="1" applyAlignment="1">
      <alignment horizontal="center" vertical="center" readingOrder="2"/>
    </xf>
    <xf numFmtId="176" fontId="6" fillId="0" borderId="3" xfId="0" applyNumberFormat="1" applyFont="1" applyFill="1" applyBorder="1" applyAlignment="1">
      <alignment horizontal="center" vertical="center" readingOrder="2"/>
    </xf>
    <xf numFmtId="0" fontId="7" fillId="0" borderId="4" xfId="0" applyFont="1" applyFill="1" applyBorder="1" applyAlignment="1">
      <alignment horizontal="right" vertical="center" indent="1" readingOrder="2"/>
    </xf>
    <xf numFmtId="176" fontId="0" fillId="0" borderId="5" xfId="0" applyNumberFormat="1" applyFont="1" applyFill="1" applyBorder="1" applyAlignment="1">
      <alignment horizontal="center" vertical="center" readingOrder="2"/>
    </xf>
    <xf numFmtId="176" fontId="0" fillId="0" borderId="6" xfId="0" applyNumberFormat="1" applyFont="1" applyFill="1" applyBorder="1" applyAlignment="1">
      <alignment horizontal="center" vertical="center" readingOrder="2"/>
    </xf>
    <xf numFmtId="176" fontId="0" fillId="0" borderId="4" xfId="0" applyNumberFormat="1" applyFont="1" applyFill="1" applyBorder="1" applyAlignment="1">
      <alignment horizontal="center" vertical="center" readingOrder="2"/>
    </xf>
    <xf numFmtId="0" fontId="7" fillId="0" borderId="2" xfId="0" applyFont="1" applyFill="1" applyBorder="1" applyAlignment="1">
      <alignment horizontal="right" vertical="center" indent="1" readingOrder="2"/>
    </xf>
    <xf numFmtId="176" fontId="0" fillId="0" borderId="0" xfId="0" applyNumberFormat="1" applyFont="1" applyFill="1" applyBorder="1" applyAlignment="1">
      <alignment horizontal="center" vertical="center" readingOrder="2"/>
    </xf>
    <xf numFmtId="176" fontId="0" fillId="0" borderId="3" xfId="0" applyNumberFormat="1" applyFont="1" applyFill="1" applyBorder="1" applyAlignment="1">
      <alignment horizontal="center" vertical="center" readingOrder="2"/>
    </xf>
    <xf numFmtId="0" fontId="7" fillId="0" borderId="7" xfId="0" applyFont="1" applyFill="1" applyBorder="1" applyAlignment="1">
      <alignment horizontal="right" vertical="center" indent="1" readingOrder="2"/>
    </xf>
    <xf numFmtId="176" fontId="0" fillId="0" borderId="8" xfId="0" applyNumberFormat="1" applyFont="1" applyFill="1" applyBorder="1" applyAlignment="1">
      <alignment horizontal="center" vertical="center" readingOrder="2"/>
    </xf>
    <xf numFmtId="176" fontId="0" fillId="0" borderId="9" xfId="0" applyNumberFormat="1" applyFont="1" applyFill="1" applyBorder="1" applyAlignment="1">
      <alignment horizontal="center" vertical="center" readingOrder="2"/>
    </xf>
    <xf numFmtId="0" fontId="6" fillId="0" borderId="10" xfId="0" applyFont="1" applyFill="1" applyBorder="1" applyAlignment="1">
      <alignment horizontal="right" vertical="center" indent="1" readingOrder="2"/>
    </xf>
    <xf numFmtId="176" fontId="8" fillId="0" borderId="11" xfId="0" applyNumberFormat="1" applyFont="1" applyFill="1" applyBorder="1" applyAlignment="1">
      <alignment horizontal="center" vertical="center" readingOrder="2"/>
    </xf>
    <xf numFmtId="176" fontId="8" fillId="0" borderId="12" xfId="0" applyNumberFormat="1" applyFont="1" applyFill="1" applyBorder="1" applyAlignment="1">
      <alignment horizontal="center" vertical="center" readingOrder="2"/>
    </xf>
    <xf numFmtId="0" fontId="9" fillId="0" borderId="0" xfId="0" applyFont="1" applyAlignment="1">
      <alignment horizontal="center" vertical="center" readingOrder="2"/>
    </xf>
    <xf numFmtId="180" fontId="2" fillId="0" borderId="8" xfId="0" applyNumberFormat="1" applyFont="1" applyFill="1" applyBorder="1" applyAlignment="1">
      <alignment horizontal="center" vertical="center" readingOrder="2"/>
    </xf>
    <xf numFmtId="176" fontId="6" fillId="0" borderId="11" xfId="0" applyNumberFormat="1" applyFont="1" applyFill="1" applyBorder="1" applyAlignment="1">
      <alignment horizontal="center" vertical="center" readingOrder="2"/>
    </xf>
    <xf numFmtId="176" fontId="6" fillId="0" borderId="12" xfId="0" applyNumberFormat="1" applyFont="1" applyFill="1" applyBorder="1" applyAlignment="1">
      <alignment horizontal="center" vertical="center" readingOrder="2"/>
    </xf>
    <xf numFmtId="0" fontId="6" fillId="0" borderId="9" xfId="0" applyFont="1" applyFill="1" applyBorder="1" applyAlignment="1">
      <alignment horizontal="right" vertical="center" indent="1" readingOrder="2"/>
    </xf>
    <xf numFmtId="176" fontId="0" fillId="0" borderId="0" xfId="0" applyNumberFormat="1" applyFont="1" applyFill="1" applyAlignment="1">
      <alignment horizontal="center" vertical="center" readingOrder="2"/>
    </xf>
    <xf numFmtId="0" fontId="10" fillId="0" borderId="4" xfId="0" applyFont="1" applyFill="1" applyBorder="1" applyAlignment="1">
      <alignment horizontal="right" vertical="center" indent="1" readingOrder="2"/>
    </xf>
    <xf numFmtId="176" fontId="11" fillId="0" borderId="0" xfId="0" applyNumberFormat="1" applyFont="1" applyFill="1" applyAlignment="1">
      <alignment horizontal="center" vertical="center" readingOrder="2"/>
    </xf>
    <xf numFmtId="0" fontId="10" fillId="0" borderId="7" xfId="0" applyFont="1" applyFill="1" applyBorder="1" applyAlignment="1">
      <alignment horizontal="right" vertical="center" indent="1" readingOrder="2"/>
    </xf>
    <xf numFmtId="0" fontId="3" fillId="0" borderId="0" xfId="0" applyFont="1" applyFill="1" applyBorder="1" applyAlignment="1">
      <alignment horizontal="left" vertical="center" indent="1"/>
    </xf>
    <xf numFmtId="0" fontId="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center"/>
    </xf>
    <xf numFmtId="0" fontId="13" fillId="0" borderId="0" xfId="0" applyFont="1" applyBorder="1" applyAlignment="1">
      <alignment horizontal="center" vertical="center" readingOrder="2"/>
    </xf>
    <xf numFmtId="0" fontId="13" fillId="0" borderId="0" xfId="0" applyFont="1" applyBorder="1" applyAlignment="1">
      <alignment horizontal="right" vertical="center" indent="1" readingOrder="2"/>
    </xf>
    <xf numFmtId="0" fontId="14" fillId="0" borderId="0" xfId="0" applyFont="1" applyAlignment="1">
      <alignment horizontal="right" vertical="center" readingOrder="2"/>
    </xf>
    <xf numFmtId="0" fontId="1" fillId="0" borderId="0" xfId="0" applyFont="1" applyBorder="1" applyAlignment="1">
      <alignment horizontal="center" vertical="center" readingOrder="2"/>
    </xf>
    <xf numFmtId="0" fontId="13" fillId="0" borderId="0" xfId="0" applyFont="1" applyBorder="1" applyAlignment="1">
      <alignment horizontal="center" wrapText="1" readingOrder="2"/>
    </xf>
    <xf numFmtId="0" fontId="1" fillId="0" borderId="0" xfId="0" applyFont="1" applyAlignment="1">
      <alignment horizontal="center" vertical="center" readingOrder="2"/>
    </xf>
    <xf numFmtId="0" fontId="2" fillId="0" borderId="0" xfId="0" applyFont="1" applyBorder="1" applyAlignment="1">
      <alignment horizontal="right" vertical="center" indent="1" readingOrder="2"/>
    </xf>
    <xf numFmtId="0" fontId="2" fillId="0" borderId="0" xfId="0" applyFont="1" applyBorder="1" applyAlignment="1">
      <alignment horizontal="center" vertical="center" readingOrder="2"/>
    </xf>
    <xf numFmtId="0" fontId="2" fillId="0" borderId="1" xfId="0" applyFont="1" applyBorder="1" applyAlignment="1">
      <alignment horizontal="center" vertical="center" readingOrder="2"/>
    </xf>
    <xf numFmtId="0" fontId="13" fillId="0" borderId="0" xfId="0" applyFont="1" applyFill="1" applyBorder="1" applyAlignment="1">
      <alignment horizontal="right" vertical="center" indent="1" readingOrder="2"/>
    </xf>
    <xf numFmtId="0" fontId="13" fillId="0" borderId="0" xfId="0" applyFont="1" applyFill="1" applyBorder="1" applyAlignment="1">
      <alignment horizontal="center" vertical="center" readingOrder="2"/>
    </xf>
    <xf numFmtId="0" fontId="15" fillId="0" borderId="0" xfId="0" applyFont="1" applyFill="1" applyBorder="1" applyAlignment="1">
      <alignment horizontal="right" vertical="center" readingOrder="2"/>
    </xf>
    <xf numFmtId="0" fontId="15" fillId="0" borderId="0" xfId="0" applyFont="1" applyFill="1" applyBorder="1" applyAlignment="1">
      <alignment horizontal="center" vertical="center" readingOrder="2"/>
    </xf>
    <xf numFmtId="0" fontId="16" fillId="0" borderId="0" xfId="0" applyFont="1" applyFill="1" applyBorder="1" applyAlignment="1">
      <alignment horizontal="right" vertical="center" indent="1" readingOrder="2"/>
    </xf>
    <xf numFmtId="182" fontId="16" fillId="0" borderId="0" xfId="0" applyNumberFormat="1" applyFont="1" applyFill="1" applyBorder="1" applyAlignment="1">
      <alignment horizontal="center" vertical="center" readingOrder="2"/>
    </xf>
    <xf numFmtId="183" fontId="16" fillId="0" borderId="0" xfId="0" applyNumberFormat="1" applyFont="1" applyFill="1" applyBorder="1" applyAlignment="1">
      <alignment horizontal="center" vertical="center" readingOrder="2"/>
    </xf>
    <xf numFmtId="0" fontId="17" fillId="0" borderId="0" xfId="0" applyFont="1" applyBorder="1" applyAlignment="1">
      <alignment horizontal="center" vertical="center" readingOrder="2"/>
    </xf>
    <xf numFmtId="0" fontId="15" fillId="0" borderId="0" xfId="0" applyFont="1" applyFill="1" applyBorder="1" applyAlignment="1">
      <alignment horizontal="right" vertical="center" indent="1" readingOrder="2"/>
    </xf>
    <xf numFmtId="182" fontId="15" fillId="0" borderId="0" xfId="0" applyNumberFormat="1" applyFont="1" applyFill="1" applyBorder="1" applyAlignment="1">
      <alignment horizontal="center" vertical="center" readingOrder="2"/>
    </xf>
    <xf numFmtId="9" fontId="15" fillId="0" borderId="0" xfId="0" applyNumberFormat="1" applyFont="1" applyFill="1" applyBorder="1" applyAlignment="1">
      <alignment horizontal="center" vertical="center" readingOrder="2"/>
    </xf>
    <xf numFmtId="0" fontId="12" fillId="0" borderId="0" xfId="0" applyFont="1" applyAlignment="1">
      <alignment horizontal="center" vertical="center" readingOrder="2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Fill="1" applyBorder="1" applyAlignment="1">
      <alignment horizontal="left" vertical="center" indent="1"/>
    </xf>
    <xf numFmtId="0" fontId="13" fillId="0" borderId="0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0" xfId="0" applyNumberFormat="1" applyFont="1" applyAlignment="1">
      <alignment horizontal="center" vertical="center" readingOrder="2"/>
    </xf>
    <xf numFmtId="0" fontId="12" fillId="0" borderId="0" xfId="0" applyFont="1" applyAlignment="1">
      <alignment horizontal="right" vertical="center" readingOrder="2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 quotePrefix="1">
      <alignment horizontal="center" vertical="center" readingOrder="2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dxfs count="52">
    <dxf>
      <font>
        <name val="Tahoma"/>
        <scheme val="none"/>
        <family val="2"/>
        <strike val="0"/>
        <u val="none"/>
      </font>
      <alignment horizontal="right" vertical="center" indent="1" readingOrder="2"/>
    </dxf>
    <dxf>
      <font>
        <name val="Tahoma"/>
        <scheme val="none"/>
        <family val="2"/>
        <b val="1"/>
        <strike val="0"/>
        <u val="none"/>
        <sz val="9"/>
        <color rgb="FF818B8A"/>
      </font>
      <numFmt numFmtId="182" formatCode="&quot;ر.س.‏&quot;\ #,##0_-;[Red]&quot;ر.س.‏&quot;\ #,##0\-"/>
      <fill>
        <patternFill patternType="none"/>
      </fill>
    </dxf>
    <dxf>
      <font>
        <name val="Tahoma"/>
        <scheme val="none"/>
        <family val="2"/>
        <b val="1"/>
        <strike val="0"/>
        <u val="none"/>
        <sz val="9"/>
        <color rgb="FF818B8A"/>
      </font>
      <numFmt numFmtId="182" formatCode="&quot;ر.س.‏&quot;\ #,##0_-;[Red]&quot;ر.س.‏&quot;\ #,##0\-"/>
      <fill>
        <patternFill patternType="none"/>
      </fill>
    </dxf>
    <dxf>
      <font>
        <name val="Tahoma"/>
        <scheme val="none"/>
        <family val="2"/>
        <b val="1"/>
        <strike val="0"/>
        <u val="none"/>
        <sz val="9"/>
        <color rgb="FF818B8A"/>
      </font>
      <numFmt numFmtId="182" formatCode="&quot;ر.س.‏&quot;\ #,##0_-;[Red]&quot;ر.س.‏&quot;\ #,##0\-"/>
      <fill>
        <patternFill patternType="none"/>
      </fill>
    </dxf>
    <dxf>
      <font>
        <name val="Tahoma"/>
        <scheme val="none"/>
        <family val="2"/>
        <strike val="0"/>
        <u val="none"/>
        <sz val="9"/>
        <color rgb="FF818B8A"/>
      </font>
      <fill>
        <patternFill patternType="none"/>
      </fill>
    </dxf>
    <dxf>
      <font>
        <name val="Tahoma"/>
        <scheme val="none"/>
        <family val="2"/>
        <strike val="0"/>
        <u val="none"/>
        <color theme="1"/>
      </font>
      <fill>
        <patternFill patternType="none"/>
      </fill>
      <alignment horizontal="right" vertical="center" indent="1" readingOrder="2"/>
      <border>
        <left style="thin">
          <color theme="0"/>
        </left>
        <right style="thin">
          <color theme="0"/>
        </right>
        <top/>
        <bottom/>
      </border>
    </dxf>
    <dxf>
      <font>
        <name val="Tahoma"/>
        <scheme val="none"/>
        <family val="2"/>
        <strike val="0"/>
        <u val="none"/>
        <color theme="1"/>
      </font>
      <numFmt numFmtId="176" formatCode="&quot;ر.س.‏&quot;\ #,##0.00_-;[Red]&quot;ر.س.‏&quot;\ #,##0.00\-"/>
      <fill>
        <patternFill patternType="none"/>
      </fill>
      <alignment horizontal="center" vertical="center"/>
      <border>
        <left style="thin">
          <color theme="0"/>
        </left>
      </border>
    </dxf>
    <dxf>
      <font>
        <name val="Tahoma"/>
        <scheme val="none"/>
        <family val="2"/>
        <strike val="0"/>
        <u val="none"/>
        <color theme="1"/>
      </font>
      <numFmt numFmtId="176" formatCode="&quot;ر.س.‏&quot;\ #,##0.00_-;[Red]&quot;ر.س.‏&quot;\ #,##0.00\-"/>
      <fill>
        <patternFill patternType="none"/>
      </fill>
      <alignment horizontal="center" vertical="center"/>
      <border>
        <left style="thin">
          <color theme="0"/>
        </left>
        <right/>
        <top/>
        <bottom/>
      </border>
    </dxf>
    <dxf>
      <font>
        <name val="Tahoma"/>
        <scheme val="none"/>
        <family val="2"/>
        <strike val="0"/>
        <u val="none"/>
        <color theme="1"/>
      </font>
      <numFmt numFmtId="176" formatCode="&quot;ر.س.‏&quot;\ #,##0.00_-;[Red]&quot;ر.س.‏&quot;\ #,##0.00\-"/>
      <fill>
        <patternFill patternType="none"/>
      </fill>
      <alignment horizontal="center" vertical="center"/>
      <border>
        <left style="thin">
          <color theme="0"/>
        </left>
        <right style="thin">
          <color theme="0"/>
        </right>
        <top/>
        <bottom/>
      </border>
    </dxf>
    <dxf>
      <font>
        <name val="Tahoma"/>
        <scheme val="none"/>
        <family val="2"/>
        <b val="0"/>
        <i val="0"/>
        <strike val="0"/>
        <u val="none"/>
        <sz val="10"/>
        <color theme="1"/>
      </font>
      <fill>
        <patternFill patternType="none"/>
      </fill>
      <alignment horizontal="right" vertical="center" indent="1" readingOrder="2"/>
      <border>
        <left style="thin">
          <color theme="0"/>
        </left>
        <right style="thin">
          <color theme="0"/>
        </right>
        <top/>
        <bottom/>
      </border>
    </dxf>
    <dxf>
      <font>
        <name val="Tahoma"/>
        <scheme val="none"/>
        <family val="2"/>
        <b val="0"/>
        <i val="0"/>
        <strike val="0"/>
        <u val="none"/>
        <sz val="11"/>
        <color theme="1"/>
      </font>
      <numFmt numFmtId="176" formatCode="&quot;ر.س.‏&quot;\ #,##0.00_-;[Red]&quot;ر.س.‏&quot;\ #,##0.00\-"/>
      <fill>
        <patternFill patternType="none"/>
      </fill>
      <alignment horizontal="center" vertical="center"/>
    </dxf>
    <dxf>
      <font>
        <name val="Tahoma"/>
        <scheme val="none"/>
        <family val="2"/>
        <b val="0"/>
        <i val="0"/>
        <strike val="0"/>
        <u val="none"/>
        <sz val="11"/>
        <color theme="1"/>
      </font>
      <numFmt numFmtId="176" formatCode="&quot;ر.س.‏&quot;\ #,##0.00_-;[Red]&quot;ر.س.‏&quot;\ #,##0.00\-"/>
      <fill>
        <patternFill patternType="none"/>
      </fill>
      <alignment horizontal="center" vertical="center"/>
    </dxf>
    <dxf>
      <font>
        <name val="Tahoma"/>
        <scheme val="none"/>
        <family val="2"/>
        <b val="0"/>
        <i val="0"/>
        <strike val="0"/>
        <u val="none"/>
        <sz val="11"/>
        <color theme="1"/>
      </font>
      <numFmt numFmtId="176" formatCode="&quot;ر.س.‏&quot;\ #,##0.00_-;[Red]&quot;ر.س.‏&quot;\ #,##0.00\-"/>
      <fill>
        <patternFill patternType="none"/>
      </fill>
      <alignment horizontal="center" vertical="center"/>
    </dxf>
    <dxf>
      <font>
        <name val="Tahoma"/>
        <scheme val="none"/>
        <family val="2"/>
        <b val="0"/>
        <i val="0"/>
        <strike val="0"/>
        <u val="none"/>
        <sz val="10"/>
        <color theme="1"/>
      </font>
      <fill>
        <patternFill patternType="none"/>
      </fill>
      <alignment horizontal="right" vertical="center" indent="1" readingOrder="2"/>
      <border>
        <left style="thin">
          <color theme="0"/>
        </left>
        <right style="thin">
          <color theme="0"/>
        </right>
        <top/>
        <bottom/>
      </border>
    </dxf>
    <dxf>
      <font>
        <name val="Tahoma"/>
        <scheme val="none"/>
        <family val="2"/>
        <b val="0"/>
        <i val="0"/>
        <strike val="0"/>
        <u val="none"/>
        <sz val="11"/>
        <color theme="1"/>
      </font>
      <numFmt numFmtId="176" formatCode="&quot;ر.س.‏&quot;\ #,##0.00_-;[Red]&quot;ر.س.‏&quot;\ #,##0.00\-"/>
      <fill>
        <patternFill patternType="none"/>
      </fill>
      <alignment horizontal="center" vertical="center"/>
    </dxf>
    <dxf>
      <font>
        <name val="Tahoma"/>
        <scheme val="none"/>
        <family val="2"/>
        <b val="0"/>
        <i val="0"/>
        <strike val="0"/>
        <u val="none"/>
        <sz val="11"/>
        <color theme="1"/>
      </font>
      <numFmt numFmtId="176" formatCode="&quot;ر.س.‏&quot;\ #,##0.00_-;[Red]&quot;ر.س.‏&quot;\ #,##0.00\-"/>
      <fill>
        <patternFill patternType="none"/>
      </fill>
      <alignment horizontal="center" vertical="center"/>
    </dxf>
    <dxf>
      <font>
        <name val="Tahoma"/>
        <scheme val="none"/>
        <family val="2"/>
        <b val="0"/>
        <i val="0"/>
        <strike val="0"/>
        <u val="none"/>
        <sz val="11"/>
        <color theme="1"/>
      </font>
      <numFmt numFmtId="176" formatCode="&quot;ر.س.‏&quot;\ #,##0.00_-;[Red]&quot;ر.س.‏&quot;\ #,##0.00\-"/>
      <fill>
        <patternFill patternType="none"/>
      </fill>
      <alignment horizontal="center" vertical="center"/>
    </dxf>
    <dxf>
      <font>
        <name val="Tahoma"/>
        <scheme val="none"/>
        <family val="2"/>
        <b val="0"/>
        <i val="0"/>
        <strike val="0"/>
        <u val="none"/>
        <sz val="10"/>
        <color theme="1"/>
      </font>
      <fill>
        <patternFill patternType="none"/>
      </fill>
      <alignment horizontal="right" vertical="center" indent="1" readingOrder="2"/>
      <border>
        <left style="thin">
          <color theme="0"/>
        </left>
        <right style="thin">
          <color theme="0"/>
        </right>
        <top/>
        <bottom/>
      </border>
    </dxf>
    <dxf>
      <font>
        <name val="Tahoma"/>
        <scheme val="none"/>
        <family val="2"/>
        <b val="0"/>
        <i val="0"/>
        <strike val="0"/>
        <u val="none"/>
        <sz val="11"/>
        <color theme="1"/>
      </font>
      <numFmt numFmtId="176" formatCode="&quot;ر.س.‏&quot;\ #,##0.00_-;[Red]&quot;ر.س.‏&quot;\ #,##0.00\-"/>
      <fill>
        <patternFill patternType="none"/>
      </fill>
      <alignment horizontal="center" vertical="center"/>
    </dxf>
    <dxf>
      <font>
        <name val="Tahoma"/>
        <scheme val="none"/>
        <family val="2"/>
        <b val="0"/>
        <i val="0"/>
        <strike val="0"/>
        <u val="none"/>
        <sz val="11"/>
        <color theme="1"/>
      </font>
      <numFmt numFmtId="176" formatCode="&quot;ر.س.‏&quot;\ #,##0.00_-;[Red]&quot;ر.س.‏&quot;\ #,##0.00\-"/>
      <fill>
        <patternFill patternType="none"/>
      </fill>
      <alignment horizontal="center" vertical="center"/>
    </dxf>
    <dxf>
      <font>
        <name val="Tahoma"/>
        <scheme val="none"/>
        <family val="2"/>
        <b val="0"/>
        <i val="0"/>
        <strike val="0"/>
        <u val="none"/>
        <sz val="11"/>
        <color theme="1"/>
      </font>
      <numFmt numFmtId="176" formatCode="&quot;ر.س.‏&quot;\ #,##0.00_-;[Red]&quot;ر.س.‏&quot;\ #,##0.00\-"/>
      <fill>
        <patternFill patternType="none"/>
      </fill>
      <alignment horizontal="center" vertical="center"/>
    </dxf>
    <dxf>
      <font>
        <name val="Tahoma"/>
        <scheme val="none"/>
        <family val="2"/>
        <b val="0"/>
        <i val="0"/>
        <strike val="0"/>
        <u val="none"/>
        <sz val="10"/>
        <color theme="1"/>
      </font>
      <fill>
        <patternFill patternType="none"/>
      </fill>
      <alignment horizontal="right" vertical="center" indent="1" readingOrder="2"/>
      <border>
        <left style="thin">
          <color theme="0"/>
        </left>
        <right style="thin">
          <color theme="0"/>
        </right>
        <top/>
        <bottom/>
      </border>
    </dxf>
    <dxf>
      <font>
        <name val="Tahoma"/>
        <scheme val="none"/>
        <family val="2"/>
        <b val="0"/>
        <i val="0"/>
        <strike val="0"/>
        <u val="none"/>
        <sz val="11"/>
        <color theme="1"/>
      </font>
      <numFmt numFmtId="176" formatCode="&quot;ر.س.‏&quot;\ #,##0.00_-;[Red]&quot;ر.س.‏&quot;\ #,##0.00\-"/>
      <fill>
        <patternFill patternType="none"/>
      </fill>
      <alignment horizontal="center" vertical="center"/>
    </dxf>
    <dxf>
      <font>
        <name val="Tahoma"/>
        <scheme val="none"/>
        <family val="2"/>
        <b val="0"/>
        <i val="0"/>
        <strike val="0"/>
        <u val="none"/>
        <sz val="11"/>
        <color theme="1"/>
      </font>
      <numFmt numFmtId="176" formatCode="&quot;ر.س.‏&quot;\ #,##0.00_-;[Red]&quot;ر.س.‏&quot;\ #,##0.00\-"/>
      <fill>
        <patternFill patternType="none"/>
      </fill>
      <alignment horizontal="center" vertical="center"/>
    </dxf>
    <dxf>
      <font>
        <name val="Tahoma"/>
        <scheme val="none"/>
        <family val="2"/>
        <b val="0"/>
        <i val="0"/>
        <strike val="0"/>
        <u val="none"/>
        <sz val="11"/>
        <color theme="1"/>
      </font>
      <numFmt numFmtId="176" formatCode="&quot;ر.س.‏&quot;\ #,##0.00_-;[Red]&quot;ر.س.‏&quot;\ #,##0.00\-"/>
      <fill>
        <patternFill patternType="none"/>
      </fill>
      <alignment horizontal="center" vertical="center"/>
    </dxf>
    <dxf>
      <font>
        <name val="Tahoma"/>
        <scheme val="none"/>
        <family val="2"/>
        <b val="0"/>
        <i val="0"/>
        <strike val="0"/>
        <u val="none"/>
        <sz val="10"/>
        <color theme="1"/>
      </font>
      <fill>
        <patternFill patternType="none"/>
      </fill>
      <alignment horizontal="right" vertical="center" indent="1" readingOrder="2"/>
      <border>
        <left style="thin">
          <color theme="0"/>
        </left>
        <right style="thin">
          <color theme="0"/>
        </right>
        <top/>
        <bottom/>
      </border>
    </dxf>
    <dxf>
      <font>
        <name val="Tahoma"/>
        <scheme val="none"/>
        <family val="2"/>
        <b val="0"/>
        <i val="0"/>
        <strike val="0"/>
        <u val="none"/>
        <sz val="11"/>
        <color theme="1"/>
      </font>
      <numFmt numFmtId="176" formatCode="&quot;ر.س.‏&quot;\ #,##0.00_-;[Red]&quot;ر.س.‏&quot;\ #,##0.00\-"/>
      <fill>
        <patternFill patternType="none"/>
      </fill>
      <alignment horizontal="center" vertical="center"/>
    </dxf>
    <dxf>
      <font>
        <name val="Tahoma"/>
        <scheme val="none"/>
        <family val="2"/>
        <b val="0"/>
        <i val="0"/>
        <strike val="0"/>
        <u val="none"/>
        <sz val="11"/>
        <color theme="1"/>
      </font>
      <numFmt numFmtId="176" formatCode="&quot;ر.س.‏&quot;\ #,##0.00_-;[Red]&quot;ر.س.‏&quot;\ #,##0.00\-"/>
      <fill>
        <patternFill patternType="none"/>
      </fill>
      <alignment horizontal="center" vertical="center"/>
    </dxf>
    <dxf>
      <font>
        <name val="Tahoma"/>
        <scheme val="none"/>
        <family val="2"/>
        <b val="0"/>
        <i val="0"/>
        <strike val="0"/>
        <u val="none"/>
        <sz val="11"/>
        <color theme="1"/>
      </font>
      <numFmt numFmtId="176" formatCode="&quot;ر.س.‏&quot;\ #,##0.00_-;[Red]&quot;ر.س.‏&quot;\ #,##0.00\-"/>
      <fill>
        <patternFill patternType="none"/>
      </fill>
      <alignment horizontal="center" vertical="center"/>
    </dxf>
    <dxf>
      <font>
        <name val="Tahoma"/>
        <scheme val="none"/>
        <family val="2"/>
        <b val="0"/>
        <i val="0"/>
        <strike val="0"/>
        <u val="none"/>
        <sz val="10"/>
        <color theme="1"/>
      </font>
      <fill>
        <patternFill patternType="none"/>
      </fill>
      <alignment horizontal="right" vertical="center" indent="1" readingOrder="2"/>
      <border>
        <left style="thin">
          <color theme="0"/>
        </left>
        <right style="thin">
          <color theme="0"/>
        </right>
        <top/>
        <bottom/>
      </border>
    </dxf>
    <dxf>
      <font>
        <name val="Tahoma"/>
        <scheme val="none"/>
        <family val="2"/>
        <b val="0"/>
        <i val="0"/>
        <strike val="0"/>
        <u val="none"/>
        <sz val="11"/>
        <color theme="1"/>
      </font>
      <numFmt numFmtId="176" formatCode="&quot;ر.س.‏&quot;\ #,##0.00_-;[Red]&quot;ر.س.‏&quot;\ #,##0.00\-"/>
      <fill>
        <patternFill patternType="none"/>
      </fill>
      <alignment horizontal="center" vertical="center"/>
    </dxf>
    <dxf>
      <font>
        <name val="Tahoma"/>
        <scheme val="none"/>
        <family val="2"/>
        <b val="0"/>
        <i val="0"/>
        <strike val="0"/>
        <u val="none"/>
        <sz val="11"/>
        <color theme="1"/>
      </font>
      <numFmt numFmtId="176" formatCode="&quot;ر.س.‏&quot;\ #,##0.00_-;[Red]&quot;ر.س.‏&quot;\ #,##0.00\-"/>
      <fill>
        <patternFill patternType="none"/>
      </fill>
      <alignment horizontal="center" vertical="center"/>
    </dxf>
    <dxf>
      <font>
        <name val="Tahoma"/>
        <scheme val="none"/>
        <family val="2"/>
        <b val="0"/>
        <i val="0"/>
        <strike val="0"/>
        <u val="none"/>
        <sz val="11"/>
        <color theme="1"/>
      </font>
      <numFmt numFmtId="176" formatCode="&quot;ر.س.‏&quot;\ #,##0.00_-;[Red]&quot;ر.س.‏&quot;\ #,##0.00\-"/>
      <fill>
        <patternFill patternType="none"/>
      </fill>
      <alignment horizontal="center" vertical="center"/>
    </dxf>
    <dxf>
      <font>
        <name val="Tahoma"/>
        <scheme val="none"/>
        <family val="2"/>
        <b val="0"/>
        <i val="0"/>
        <strike val="0"/>
        <u val="none"/>
        <sz val="10"/>
        <color theme="1"/>
      </font>
      <fill>
        <patternFill patternType="none"/>
      </fill>
      <alignment horizontal="right" vertical="center" indent="1" readingOrder="2"/>
      <border>
        <left style="thin">
          <color theme="0"/>
        </left>
        <right style="thin">
          <color theme="0"/>
        </right>
        <top/>
        <bottom/>
      </border>
    </dxf>
    <dxf>
      <font>
        <name val="Tahoma"/>
        <scheme val="none"/>
        <family val="2"/>
        <b val="0"/>
        <i val="0"/>
        <strike val="0"/>
        <u val="none"/>
        <sz val="11"/>
        <color theme="1"/>
      </font>
      <numFmt numFmtId="176" formatCode="&quot;ر.س.‏&quot;\ #,##0.00_-;[Red]&quot;ر.س.‏&quot;\ #,##0.00\-"/>
      <fill>
        <patternFill patternType="none"/>
      </fill>
      <alignment horizontal="center" vertical="center"/>
    </dxf>
    <dxf>
      <font>
        <name val="Tahoma"/>
        <scheme val="none"/>
        <family val="2"/>
        <b val="0"/>
        <i val="0"/>
        <strike val="0"/>
        <u val="none"/>
        <sz val="11"/>
        <color theme="1"/>
      </font>
      <numFmt numFmtId="176" formatCode="&quot;ر.س.‏&quot;\ #,##0.00_-;[Red]&quot;ر.س.‏&quot;\ #,##0.00\-"/>
      <fill>
        <patternFill patternType="none"/>
      </fill>
      <alignment horizontal="center" vertical="center"/>
    </dxf>
    <dxf>
      <font>
        <name val="Tahoma"/>
        <scheme val="none"/>
        <family val="2"/>
        <b val="0"/>
        <i val="0"/>
        <strike val="0"/>
        <u val="none"/>
        <sz val="11"/>
        <color theme="1"/>
      </font>
      <numFmt numFmtId="176" formatCode="&quot;ر.س.‏&quot;\ #,##0.00_-;[Red]&quot;ر.س.‏&quot;\ #,##0.00\-"/>
      <fill>
        <patternFill patternType="none"/>
      </fill>
      <alignment horizontal="center" vertical="center"/>
    </dxf>
    <dxf>
      <font>
        <name val="Tahoma"/>
        <scheme val="none"/>
        <family val="2"/>
        <b val="0"/>
        <i val="0"/>
        <strike val="0"/>
        <u val="none"/>
        <sz val="10"/>
        <color rgb="FF43646B"/>
      </font>
      <fill>
        <patternFill patternType="none"/>
      </fill>
      <alignment horizontal="right" vertical="center" indent="1" readingOrder="2"/>
      <border>
        <left style="thin">
          <color theme="0"/>
        </left>
        <right style="thin">
          <color theme="0"/>
        </right>
        <top/>
        <bottom/>
      </border>
    </dxf>
    <dxf>
      <font>
        <name val="Tahoma"/>
        <scheme val="none"/>
        <family val="2"/>
        <b val="0"/>
        <i val="0"/>
        <strike val="0"/>
        <u val="none"/>
        <sz val="11"/>
        <color rgb="FF43646B"/>
      </font>
      <numFmt numFmtId="176" formatCode="&quot;ر.س.‏&quot;\ #,##0.00_-;[Red]&quot;ر.س.‏&quot;\ #,##0.00\-"/>
      <fill>
        <patternFill patternType="none"/>
      </fill>
      <alignment horizontal="center" vertical="center"/>
    </dxf>
    <dxf>
      <font>
        <name val="Tahoma"/>
        <scheme val="none"/>
        <family val="2"/>
        <b val="0"/>
        <i val="0"/>
        <strike val="0"/>
        <u val="none"/>
        <sz val="11"/>
        <color rgb="FF43646B"/>
      </font>
      <numFmt numFmtId="176" formatCode="&quot;ر.س.‏&quot;\ #,##0.00_-;[Red]&quot;ر.س.‏&quot;\ #,##0.00\-"/>
      <fill>
        <patternFill patternType="none"/>
      </fill>
      <alignment horizontal="center" vertical="center"/>
    </dxf>
    <dxf>
      <font>
        <name val="Tahoma"/>
        <scheme val="none"/>
        <family val="2"/>
        <b val="0"/>
        <i val="0"/>
        <strike val="0"/>
        <u val="none"/>
        <sz val="11"/>
        <color rgb="FF43646B"/>
      </font>
      <numFmt numFmtId="176" formatCode="&quot;ر.س.‏&quot;\ #,##0.00_-;[Red]&quot;ر.س.‏&quot;\ #,##0.00\-"/>
      <fill>
        <patternFill patternType="none"/>
      </fill>
      <alignment horizontal="center" vertical="center"/>
    </dxf>
    <dxf>
      <font>
        <name val="Tahoma"/>
        <scheme val="none"/>
        <family val="2"/>
        <strike val="0"/>
        <u val="none"/>
      </font>
      <alignment horizontal="right" vertical="center" indent="1" readingOrder="2"/>
    </dxf>
    <dxf>
      <font>
        <name val="Tahoma"/>
        <scheme val="none"/>
        <family val="2"/>
        <strike val="0"/>
        <u val="none"/>
      </font>
      <numFmt numFmtId="176" formatCode="&quot;ر.س.‏&quot;\ #,##0.00_-;[Red]&quot;ر.س.‏&quot;\ #,##0.00\-"/>
    </dxf>
    <dxf>
      <font>
        <name val="Tahoma"/>
        <scheme val="none"/>
        <family val="2"/>
        <strike val="0"/>
        <u val="none"/>
      </font>
      <numFmt numFmtId="176" formatCode="&quot;ر.س.‏&quot;\ #,##0.00_-;[Red]&quot;ر.س.‏&quot;\ #,##0.00\-"/>
    </dxf>
    <dxf>
      <font>
        <name val="Tahoma"/>
        <scheme val="none"/>
        <family val="2"/>
        <strike val="0"/>
        <u val="none"/>
      </font>
      <numFmt numFmtId="176" formatCode="&quot;ر.س.‏&quot;\ #,##0.00_-;[Red]&quot;ر.س.‏&quot;\ #,##0.00\-"/>
    </dxf>
    <dxf>
      <fill>
        <patternFill patternType="solid">
          <fgColor theme="5" tint="0.799981688894314"/>
          <bgColor theme="5" tint="0.799981688894314"/>
        </patternFill>
      </fill>
    </dxf>
    <dxf>
      <fill>
        <patternFill patternType="solid">
          <bgColor theme="8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i val="0"/>
      </font>
      <fill>
        <patternFill patternType="none"/>
      </fill>
      <border>
        <top style="medium">
          <color theme="4"/>
        </top>
        <vertical/>
        <horizontal/>
      </border>
    </dxf>
    <dxf>
      <font>
        <b val="0"/>
        <i val="0"/>
        <color theme="0"/>
      </font>
      <fill>
        <patternFill patternType="none"/>
      </fill>
      <border>
        <left/>
        <right/>
        <top/>
        <bottom style="medium">
          <color theme="4"/>
        </bottom>
        <vertical/>
        <horizontal/>
      </border>
    </dxf>
    <dxf>
      <font>
        <color theme="1"/>
      </font>
      <border>
        <left/>
        <right/>
        <top/>
        <bottom/>
        <vertical/>
        <horizontal/>
      </border>
    </dxf>
  </dxfs>
  <tableStyles count="1" defaultTableStyle="TableStyleMedium2" defaultPivotStyle="PivotStyleLight16">
    <tableStyle name="TableStyleMedium3 2" pivot="0" count="7">
      <tableStyleElement type="wholeTable" dxfId="51"/>
      <tableStyleElement type="headerRow" dxfId="50"/>
      <tableStyleElement type="totalRow" dxfId="49"/>
      <tableStyleElement type="firstColumn" dxfId="48"/>
      <tableStyleElement type="lastColumn" dxfId="47"/>
      <tableStyleElement type="firstRowStripe" dxfId="46"/>
      <tableStyleElement type="firstColumnStripe" dxfId="45"/>
    </tableStyle>
  </tableStyles>
  <colors>
    <mruColors>
      <color rgb="00818B8A"/>
      <color rgb="0017A1AB"/>
      <color rgb="0043646B"/>
      <color rgb="00F8F8F8"/>
      <color rgb="00807E81"/>
      <color rgb="00018B8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customXml" Target="../customXml/item3.xml"/><Relationship Id="rId4" Type="http://schemas.openxmlformats.org/officeDocument/2006/relationships/customXml" Target="../customXml/item2.xml"/><Relationship Id="rId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5850283648667"/>
          <c:y val="0.0447885234128692"/>
          <c:w val="0.806094940721015"/>
          <c:h val="0.955211476587131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'موازنة حفل الزفاف'!$C$5</c:f>
              <c:strCache>
                <c:ptCount val="1"/>
                <c:pt idx="0">
                  <c:v>"التكلفة المقدرة"</c:v>
                </c:pt>
              </c:strCache>
            </c:strRef>
          </c:tx>
          <c:spPr>
            <a:solidFill>
              <a:srgbClr val="17A1AB"/>
            </a:solidFill>
            <a:ln w="41275">
              <a:solidFill>
                <a:srgbClr val="17A1AB"/>
              </a:solidFill>
            </a:ln>
            <a:effectLst/>
          </c:spPr>
          <c:invertIfNegative val="0"/>
          <c:dLbls>
            <c:delete val="1"/>
          </c:dLbls>
          <c:cat>
            <c:strRef>
              <c:f>'موازنة حفل الزفاف'!$B$6:$B$15</c:f>
              <c:strCache>
                <c:ptCount val="10"/>
                <c:pt idx="0">
                  <c:v>الاستقبال</c:v>
                </c:pt>
                <c:pt idx="1">
                  <c:v>الملابس</c:v>
                </c:pt>
                <c:pt idx="2">
                  <c:v>الأزهار والزخرفة</c:v>
                </c:pt>
                <c:pt idx="3">
                  <c:v>الصور الفوتوغرافية والفيديو</c:v>
                </c:pt>
                <c:pt idx="4">
                  <c:v>الموسيقى</c:v>
                </c:pt>
                <c:pt idx="5">
                  <c:v>هدايا حفل الزواج والهدايا</c:v>
                </c:pt>
                <c:pt idx="6">
                  <c:v>خواتم الزواج</c:v>
                </c:pt>
                <c:pt idx="7">
                  <c:v>الحفل</c:v>
                </c:pt>
                <c:pt idx="8">
                  <c:v>الخطابات</c:v>
                </c:pt>
                <c:pt idx="9">
                  <c:v>وسائل النقل</c:v>
                </c:pt>
              </c:strCache>
            </c:strRef>
          </c:cat>
          <c:val>
            <c:numRef>
              <c:f>'موازنة حفل الزفاف'!$C$6:$C$15</c:f>
              <c:numCache>
                <c:formatCode>"ر.س.‏"\ #,##0_-;[Red]"ر.س.‏"\ #,##0\-</c:formatCode>
                <c:ptCount val="10"/>
                <c:pt idx="0">
                  <c:v>14500</c:v>
                </c:pt>
                <c:pt idx="1">
                  <c:v>4000</c:v>
                </c:pt>
                <c:pt idx="2">
                  <c:v>3000</c:v>
                </c:pt>
                <c:pt idx="3">
                  <c:v>2500</c:v>
                </c:pt>
                <c:pt idx="4">
                  <c:v>1800</c:v>
                </c:pt>
                <c:pt idx="5">
                  <c:v>1100</c:v>
                </c:pt>
                <c:pt idx="6">
                  <c:v>1100</c:v>
                </c:pt>
                <c:pt idx="7">
                  <c:v>800</c:v>
                </c:pt>
                <c:pt idx="8">
                  <c:v>500</c:v>
                </c:pt>
                <c:pt idx="9">
                  <c:v>450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534022976"/>
        <c:axId val="534026256"/>
      </c:barChart>
      <c:catAx>
        <c:axId val="534022976"/>
        <c:scaling>
          <c:orientation val="maxMin"/>
        </c:scaling>
        <c:delete val="0"/>
        <c:axPos val="r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rgbClr val="818B8A"/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n-GB" sz="900" b="0" i="0" u="none" strike="noStrike" kern="1200" baseline="0">
                <a:solidFill>
                  <a:srgbClr val="818B8A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defRPr>
            </a:pPr>
          </a:p>
        </c:txPr>
        <c:crossAx val="534026256"/>
        <c:crosses val="autoZero"/>
        <c:auto val="1"/>
        <c:lblAlgn val="ctr"/>
        <c:lblOffset val="100"/>
        <c:noMultiLvlLbl val="0"/>
      </c:catAx>
      <c:valAx>
        <c:axId val="534026256"/>
        <c:scaling>
          <c:orientation val="maxMin"/>
        </c:scaling>
        <c:delete val="1"/>
        <c:axPos val="t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&quot;ر.س.‏&quot;\ #,##0_-;[Red]&quot;ر.س.‏&quot;\ #,##0\-" sourceLinked="1"/>
        <c:majorTickMark val="none"/>
        <c:minorTickMark val="none"/>
        <c:tickLblPos val="nextTo"/>
        <c:txPr>
          <a:bodyPr rot="-60000000" spcFirstLastPara="0" vertOverflow="ellipsis" vert="horz" wrap="square" anchor="ctr" anchorCtr="1"/>
          <a:lstStyle/>
          <a:p>
            <a:pPr>
              <a:defRPr lang="en-GB"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defRPr>
            </a:pPr>
          </a:p>
        </c:txPr>
        <c:crossAx val="534022976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lang="en-GB">
          <a:latin typeface="Tahoma" panose="020B0604030504040204" pitchFamily="34" charset="0"/>
          <a:ea typeface="Tahoma" panose="020B0604030504040204" pitchFamily="34" charset="0"/>
          <a:cs typeface="Tahoma" panose="020B0604030504040204" pitchFamily="34" charset="0"/>
        </a:defRPr>
      </a:pPr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3">
  <a:schemeClr val="accent3"/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</xdr:col>
      <xdr:colOff>206828</xdr:colOff>
      <xdr:row>2</xdr:row>
      <xdr:rowOff>15240</xdr:rowOff>
    </xdr:from>
    <xdr:to>
      <xdr:col>5</xdr:col>
      <xdr:colOff>1155246</xdr:colOff>
      <xdr:row>2</xdr:row>
      <xdr:rowOff>2795997</xdr:rowOff>
    </xdr:to>
    <xdr:graphicFrame>
      <xdr:nvGraphicFramePr>
        <xdr:cNvPr id="2" name="المخطط 1" descr="مخطط يلخص ميزانية الزفاف حسب الفئة. يتم عرض مصروفات الفئة بترتيب تنازلي بناءً على التكاليف المقدرة."/>
        <xdr:cNvGraphicFramePr/>
      </xdr:nvGraphicFramePr>
      <xdr:xfrm>
        <a:off x="406400" y="1985010"/>
        <a:ext cx="7254240" cy="2780665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</xdr:col>
      <xdr:colOff>0</xdr:colOff>
      <xdr:row>0</xdr:row>
      <xdr:rowOff>0</xdr:rowOff>
    </xdr:from>
    <xdr:to>
      <xdr:col>5</xdr:col>
      <xdr:colOff>1138759</xdr:colOff>
      <xdr:row>1</xdr:row>
      <xdr:rowOff>45720</xdr:rowOff>
    </xdr:to>
    <xdr:pic>
      <xdr:nvPicPr>
        <xdr:cNvPr id="5" name="الصورة 4"/>
        <xdr:cNvPicPr/>
      </xdr:nvPicPr>
      <xdr:blipFill>
        <a:blip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 flipH="1">
          <a:off x="200025" y="0"/>
          <a:ext cx="7444105" cy="96774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1" name="ملخص_TBL" displayName="ملخص_TBL" ref="B5:F16" totalsRowCount="1">
  <tableColumns count="5">
    <tableColumn id="1" name="الفئة" totalsRowLabel="الإجمالي" dataDxfId="0"/>
    <tableColumn id="2" name="&quot;التكلفة المقدرة&quot;" totalsRowFunction="sum" dataDxfId="1"/>
    <tableColumn id="3" name="التكلفة الفعلية" totalsRowFunction="sum" dataDxfId="2"/>
    <tableColumn id="4" name="نسبة الفرق" totalsRowFunction="custom">
      <calculatedColumnFormula>ملخص_TBL[[#Totals],["التكلفة المقدرة"]]-ملخص_TBL[[#Totals],[التكلفة الفعلية]]</calculatedColumnFormula>
      <totalsRowFormula>ملخص_TBL[[#Totals],["التكلفة المقدرة"]]-ملخص_TBL[[#Totals],[التكلفة الفعلية]]</totalsRowFormula>
       dataDxfId="3"
    </tableColumn>
    <tableColumn id="5" name="الميزانية %" totalsRowFunction="sum" dataDxfId="4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1" name="TBL_Reception" displayName="TBL_Reception" ref="B4:E10" totalsRowCount="1">
  <tableColumns count="4">
    <tableColumn id="1" name="الاستقبال" totalsRowLabel="إجمالي حفل الاستقبال" dataDxfId="5"/>
    <tableColumn id="2" name="مُقدر" totalsRowFunction="sum" dataDxfId="6"/>
    <tableColumn id="3" name="الفعلي" totalsRowFunction="sum" dataDxfId="7"/>
    <tableColumn id="4" name="نسبة الفرق" totalsRowFunction="custom">
      <calculatedColumnFormula>TBL_Reception[[#Totals],[مُقدر]]-TBL_Reception[[#Totals],[الفعلي]]</calculatedColumnFormula>
      <totalsRowFormula>TBL_Reception[[#Totals],[مُقدر]]-TBL_Reception[[#Totals],[الفعلي]]</totalsRowFormula>
       dataDxfId="8"
    </tableColumn>
  </tableColumns>
  <tableStyleInfo name="TableStyleMedium3 2" showFirstColumn="0" showLastColumn="0" showRowStripes="0" showColumnStripes="0"/>
</table>
</file>

<file path=xl/tables/table3.xml><?xml version="1.0" encoding="utf-8"?>
<table xmlns="http://schemas.openxmlformats.org/spreadsheetml/2006/main" id="2" name="TBL_Attire" displayName="TBL_Attire" ref="B13:E20" totalsRowCount="1">
  <tableColumns count="4">
    <tableColumn id="1" name="الملابس" totalsRowLabel="مجموع ATTIRE" dataDxfId="9"/>
    <tableColumn id="2" name="المُقدر" totalsRowFunction="sum" dataDxfId="10"/>
    <tableColumn id="3" name="الفعلي" totalsRowFunction="sum" dataDxfId="11"/>
    <tableColumn id="4" name="نسبة الفرق" totalsRowFunction="custom">
      <totalsRowFormula>TBL_Attire[[#Totals],[المُقدر]]-TBL_Attire[[#Totals],[الفعلي]]</totalsRowFormula>
       dataDxfId="12"
    </tableColumn>
  </tableColumns>
  <tableStyleInfo name="TableStyleMedium3 2" showFirstColumn="0" showLastColumn="0" showRowStripes="0" showColumnStripes="0"/>
</table>
</file>

<file path=xl/tables/table4.xml><?xml version="1.0" encoding="utf-8"?>
<table xmlns="http://schemas.openxmlformats.org/spreadsheetml/2006/main" id="3" name="TBL_FlowersAndDecor" displayName="TBL_FlowersAndDecor" ref="B23:E33" totalsRowCount="1">
  <tableColumns count="4">
    <tableColumn id="1" name="الأزهار والزخرفة" totalsRowLabel="مجمموع الزهور والديكورات" dataDxfId="13"/>
    <tableColumn id="2" name="المُقدر" totalsRowFunction="sum" dataDxfId="14"/>
    <tableColumn id="3" name="الفعلي" totalsRowFunction="sum" dataDxfId="15"/>
    <tableColumn id="4" name="نسبة الفرق" totalsRowFunction="custom">
      <totalsRowFormula>TBL_FlowersAndDecor[[#Totals],[المُقدر]]-TBL_FlowersAndDecor[[#Totals],[الفعلي]]</totalsRowFormula>
       dataDxfId="16"
    </tableColumn>
  </tableColumns>
  <tableStyleInfo name="TableStyleMedium3 2" showFirstColumn="0" showLastColumn="0" showRowStripes="0" showColumnStripes="0"/>
</table>
</file>

<file path=xl/tables/table5.xml><?xml version="1.0" encoding="utf-8"?>
<table xmlns="http://schemas.openxmlformats.org/spreadsheetml/2006/main" id="4" name="TBL_Music" displayName="TBL_Music" ref="B36:E42" totalsRowCount="1">
  <tableColumns count="4">
    <tableColumn id="1" name="الموسيقى" totalsRowLabel="إجمالي الموسيقي" dataDxfId="17"/>
    <tableColumn id="2" name="المُقدر" totalsRowFunction="sum" dataDxfId="18"/>
    <tableColumn id="3" name="الفعلي" totalsRowFunction="sum" dataDxfId="19"/>
    <tableColumn id="4" name="نسبة الفرق" totalsRowFunction="custom">
      <totalsRowFormula>TBL_Music[[#Totals],[المُقدر]]-TBL_Music[[#Totals],[الفعلي]]</totalsRowFormula>
       dataDxfId="20"
    </tableColumn>
  </tableColumns>
  <tableStyleInfo name="TableStyleMedium3 2" showFirstColumn="0" showLastColumn="0" showRowStripes="0" showColumnStripes="0"/>
</table>
</file>

<file path=xl/tables/table6.xml><?xml version="1.0" encoding="utf-8"?>
<table xmlns="http://schemas.openxmlformats.org/spreadsheetml/2006/main" id="5" name="TBL_PhotographsAndVideo" displayName="TBL_PhotographsAndVideo" ref="B45:E50" totalsRowCount="1">
  <tableColumns count="4">
    <tableColumn id="1" name="التصوير الفوتوغرافي والفيديو" totalsRowLabel="إجمالي التصوير والفيديو" dataDxfId="21"/>
    <tableColumn id="2" name="المُقدر" totalsRowFunction="sum" dataDxfId="22"/>
    <tableColumn id="3" name="الفعلي" totalsRowFunction="sum" dataDxfId="23"/>
    <tableColumn id="4" name="نسبة الفرق" totalsRowFunction="custom">
      <totalsRowFormula>TBL_PhotographsAndVideo[[#Totals],[المُقدر]]-TBL_PhotographsAndVideo[[#Totals],[الفعلي]]</totalsRowFormula>
       dataDxfId="24"
    </tableColumn>
  </tableColumns>
  <tableStyleInfo name="TableStyleMedium3 2" showFirstColumn="0" showLastColumn="0" showRowStripes="0" showColumnStripes="0"/>
</table>
</file>

<file path=xl/tables/table7.xml><?xml version="1.0" encoding="utf-8"?>
<table xmlns="http://schemas.openxmlformats.org/spreadsheetml/2006/main" id="6" name="TBL_FavorsAndGifts" displayName="TBL_FavorsAndGifts" ref="B53:E57" totalsRowCount="1">
  <tableColumns count="4">
    <tableColumn id="1" name="المنح والهدايا" totalsRowLabel="إجمالي الهدايا" dataDxfId="25"/>
    <tableColumn id="2" name="المُقدر" totalsRowFunction="sum" dataDxfId="26"/>
    <tableColumn id="3" name="الفعلي" totalsRowFunction="sum" dataDxfId="27"/>
    <tableColumn id="4" name="نسبة الفرق" totalsRowFunction="custom">
      <totalsRowFormula>TBL_FavorsAndGifts[[#Totals],[المُقدر]]-TBL_FavorsAndGifts[[#Totals],[الفعلي]]</totalsRowFormula>
       dataDxfId="28"
    </tableColumn>
  </tableColumns>
  <tableStyleInfo name="TableStyleMedium3 2" showFirstColumn="0" showLastColumn="0" showRowStripes="0" showColumnStripes="0"/>
</table>
</file>

<file path=xl/tables/table8.xml><?xml version="1.0" encoding="utf-8"?>
<table xmlns="http://schemas.openxmlformats.org/spreadsheetml/2006/main" id="7" name="TBL_Ceremony" displayName="TBL_Ceremony" ref="B60:E64" totalsRowCount="1">
  <tableColumns count="4">
    <tableColumn id="1" name="الحفل" totalsRowLabel="مجموع الحفل" dataDxfId="29"/>
    <tableColumn id="2" name="المُقدر" totalsRowFunction="sum" dataDxfId="30"/>
    <tableColumn id="3" name="الفعلي" totalsRowFunction="sum" dataDxfId="31"/>
    <tableColumn id="4" name="نسبة الفرق" totalsRowFunction="custom">
      <totalsRowFormula>TBL_Ceremony[[#Totals],[المُقدر]]-TBL_Ceremony[[#Totals],[الفعلي]]</totalsRowFormula>
       dataDxfId="32"
    </tableColumn>
  </tableColumns>
  <tableStyleInfo name="TableStyleMedium3 2" showFirstColumn="0" showLastColumn="0" showRowStripes="0" showColumnStripes="0"/>
</table>
</file>

<file path=xl/tables/table9.xml><?xml version="1.0" encoding="utf-8"?>
<table xmlns="http://schemas.openxmlformats.org/spreadsheetml/2006/main" id="8" name="TBL_Stationery" displayName="TBL_Stationery" ref="B67:E76" totalsRowCount="1">
  <tableColumns count="4">
    <tableColumn id="1" name="ثابت" totalsRowLabel="المجموع الكلي للقرطاسية" dataDxfId="33"/>
    <tableColumn id="2" name="المُقدر" totalsRowFunction="sum" dataDxfId="34"/>
    <tableColumn id="3" name="الفعلي" totalsRowFunction="sum" dataDxfId="35"/>
    <tableColumn id="4" name="نسبة الفرق" totalsRowFunction="custom">
      <totalsRowFormula>TBL_Stationery[[#Totals],[المُقدر]]-TBL_Stationery[[#Totals],[الفعلي]]</totalsRowFormula>
       dataDxfId="36"
    </tableColumn>
  </tableColumns>
  <tableStyleInfo name="TableStyleMedium3 2" showFirstColumn="0" showLastColumn="0" showRowStripes="0" showColumnStripes="0"/>
</table>
</file>

<file path=xl/tables/table10.xml><?xml version="1.0" encoding="utf-8"?>
<table xmlns="http://schemas.openxmlformats.org/spreadsheetml/2006/main" id="9" name="TBL_WeddingRings" displayName="TBL_WeddingRings" ref="B79:E82" totalsRowCount="1">
  <tableColumns count="4">
    <tableColumn id="1" name="خواتم الزواج" totalsRowLabel="مجموع خواتم الزفاف" dataDxfId="37"/>
    <tableColumn id="2" name="المُقدر" totalsRowFunction="sum" dataDxfId="38"/>
    <tableColumn id="3" name="الفعلي" totalsRowFunction="sum" dataDxfId="39"/>
    <tableColumn id="4" name="نسبة الفرق" totalsRowFunction="custom">
      <totalsRowFormula>TBL_WeddingRings[[#Totals],[المُقدر]]-TBL_WeddingRings[[#Totals],[الفعلي]]</totalsRowFormula>
       dataDxfId="40"
    </tableColumn>
  </tableColumns>
  <tableStyleInfo name="TableStyleMedium3 2" showFirstColumn="0" showLastColumn="0" showRowStripes="0" showColumnStripes="0"/>
</table>
</file>

<file path=xl/tables/table11.xml><?xml version="1.0" encoding="utf-8"?>
<table xmlns="http://schemas.openxmlformats.org/spreadsheetml/2006/main" id="10" name="TBL_Transportation" displayName="TBL_Transportation" ref="B85:E91" totalsRowCount="1">
  <autoFilter ref="B85:E90">
    <filterColumn colId="0" hiddenButton="1"/>
    <filterColumn colId="1" hiddenButton="1"/>
    <filterColumn colId="2" hiddenButton="1"/>
    <filterColumn colId="3" hiddenButton="1"/>
  </autoFilter>
  <tableColumns count="4">
    <tableColumn id="1" name="وسيلة النقل  " totalsRowLabel="إجمالي النقل" dataDxfId="41"/>
    <tableColumn id="2" name="المُقدر" totalsRowFunction="sum" dataDxfId="42"/>
    <tableColumn id="3" name="الفعلي" totalsRowFunction="sum" dataDxfId="43"/>
    <tableColumn id="4" name="نسبة الفرق" totalsRowFunction="custom">
      <totalsRowFormula>TBL_Transportation[[#Totals],[المُقدر]]-TBL_Transportation[[#Totals],[الفعلي]]</totalsRowFormula>
       dataDxfId="44"
    </tableColumn>
  </tableColumns>
  <tableStyleInfo name="TableStyleMedium3 2" showFirstColumn="0" showLastColumn="0" showRowStripes="0" showColumnStripes="0"/>
</table>
</file>

<file path=xl/theme/theme1.xml><?xml version="1.0" encoding="utf-8"?>
<a:theme xmlns:a="http://schemas.openxmlformats.org/drawingml/2006/main" name="Water Color Wash">
  <a:themeElements>
    <a:clrScheme name="Watercolor Wedding">
      <a:dk1>
        <a:srgbClr val="818B8A"/>
      </a:dk1>
      <a:lt1>
        <a:srgbClr val="FFFFFF"/>
      </a:lt1>
      <a:dk2>
        <a:srgbClr val="17A1AB"/>
      </a:dk2>
      <a:lt2>
        <a:srgbClr val="D6D5D5"/>
      </a:lt2>
      <a:accent1>
        <a:srgbClr val="0C4A80"/>
      </a:accent1>
      <a:accent2>
        <a:srgbClr val="0D6397"/>
      </a:accent2>
      <a:accent3>
        <a:srgbClr val="1E83A9"/>
      </a:accent3>
      <a:accent4>
        <a:srgbClr val="478FB1"/>
      </a:accent4>
      <a:accent5>
        <a:srgbClr val="8CB8D1"/>
      </a:accent5>
      <a:accent6>
        <a:srgbClr val="C9E6F1"/>
      </a:accent6>
      <a:hlink>
        <a:srgbClr val="0000FF"/>
      </a:hlink>
      <a:folHlink>
        <a:srgbClr val="FF00FF"/>
      </a:folHlink>
    </a:clrScheme>
    <a:fontScheme name="_Water color Wash 2">
      <a:majorFont>
        <a:latin typeface="Franklin Gothic Medium Cond"/>
        <a:ea typeface="Gill Sans"/>
        <a:cs typeface="Gill Sans"/>
      </a:majorFont>
      <a:minorFont>
        <a:latin typeface="Franklin Gothic Book"/>
        <a:ea typeface="Gill Sans"/>
        <a:cs typeface="Gill Sans"/>
      </a:minorFont>
    </a:fontScheme>
    <a:fmtScheme name="Whit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noFill/>
        <a:ln w="25400" cap="flat">
          <a:solidFill>
            <a:srgbClr val="000000"/>
          </a:solidFill>
          <a:prstDash val="solid"/>
          <a:miter lim="400000"/>
        </a:ln>
      </a:spPr>
      <a:bodyPr rot="0" spcFirstLastPara="1" vertOverflow="overflow" horzOverflow="overflow" vert="horz" wrap="square" lIns="38100" tIns="38100" rIns="38100" bIns="38100" numCol="1" spcCol="38100" rtlCol="0" anchor="ctr">
        <a:spAutoFit/>
      </a:bodyPr>
      <a:lstStyle>
        <a:defPPr marL="0" marR="0" indent="0" algn="ctr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3000" b="0" i="0" u="none" strike="noStrike" cap="none" spc="0" normalizeH="0" baseline="0">
            <a:ln>
              <a:noFill/>
            </a:ln>
            <a:solidFill>
              <a:srgbClr val="FFFFFF"/>
            </a:solidFill>
            <a:effectLst>
              <a:outerShdw blurRad="38100" dist="12700" dir="5400000" rotWithShape="0">
                <a:srgbClr val="000000">
                  <a:alpha val="50000"/>
                </a:srgbClr>
              </a:outerShdw>
            </a:effectLst>
            <a:uFillTx/>
            <a:latin typeface="+mn-lt"/>
            <a:ea typeface="+mn-ea"/>
            <a:cs typeface="+mn-cs"/>
            <a:sym typeface="Gill Sans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38100" cap="flat">
          <a:solidFill>
            <a:srgbClr val="000000"/>
          </a:solidFill>
          <a:prstDash val="solid"/>
          <a:miter lim="400000"/>
        </a:ln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32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Gill Sans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9" Type="http://schemas.openxmlformats.org/officeDocument/2006/relationships/table" Target="../tables/table10.xml"/><Relationship Id="rId8" Type="http://schemas.openxmlformats.org/officeDocument/2006/relationships/table" Target="../tables/table9.xml"/><Relationship Id="rId7" Type="http://schemas.openxmlformats.org/officeDocument/2006/relationships/table" Target="../tables/table8.xml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0" Type="http://schemas.openxmlformats.org/officeDocument/2006/relationships/table" Target="../tables/table11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Q24"/>
  <sheetViews>
    <sheetView showGridLines="0" tabSelected="1" topLeftCell="A2" workbookViewId="0">
      <selection activeCell="A1" sqref="A1"/>
    </sheetView>
  </sheetViews>
  <sheetFormatPr defaultColWidth="8.75" defaultRowHeight="21" customHeight="1"/>
  <cols>
    <col min="1" max="1" width="2.625" style="5" customWidth="1"/>
    <col min="2" max="2" width="27.25" style="46" customWidth="1"/>
    <col min="3" max="3" width="20.25" style="5" customWidth="1"/>
    <col min="4" max="6" width="17.625" style="5" customWidth="1"/>
    <col min="7" max="7" width="1.5" style="5" customWidth="1"/>
    <col min="8" max="9" width="8.75" style="5" customWidth="1"/>
    <col min="10" max="10" width="21.75" style="47" hidden="1" customWidth="1"/>
    <col min="11" max="11" width="15.5" style="47" hidden="1" customWidth="1"/>
    <col min="12" max="12" width="12.75" style="47" hidden="1" customWidth="1"/>
    <col min="13" max="13" width="24.25" style="5" hidden="1" customWidth="1"/>
    <col min="14" max="15" width="10.5" style="5" hidden="1" customWidth="1"/>
    <col min="16" max="16" width="21.75" style="47" hidden="1" customWidth="1"/>
    <col min="17" max="16384" width="8.75" style="5"/>
  </cols>
  <sheetData>
    <row r="1" ht="72.6" customHeight="1" spans="1:16">
      <c r="A1" s="48"/>
      <c r="B1" s="49"/>
      <c r="C1" s="48"/>
      <c r="D1" s="48"/>
      <c r="E1" s="48"/>
      <c r="F1" s="48"/>
      <c r="G1" s="50" t="s">
        <v>0</v>
      </c>
      <c r="H1" s="17"/>
      <c r="I1" s="17"/>
      <c r="J1" s="9"/>
      <c r="K1" s="9"/>
      <c r="L1" s="9"/>
      <c r="M1" s="17"/>
      <c r="N1" s="17"/>
      <c r="O1" s="17"/>
      <c r="P1" s="9"/>
    </row>
    <row r="2" s="44" customFormat="1" ht="82.5" customHeight="1" spans="1:16">
      <c r="A2" s="51"/>
      <c r="B2" s="52" t="s">
        <v>1</v>
      </c>
      <c r="C2" s="52"/>
      <c r="D2" s="52"/>
      <c r="E2" s="52"/>
      <c r="F2" s="52"/>
      <c r="G2" s="51"/>
      <c r="H2" s="53"/>
      <c r="I2" s="53"/>
      <c r="J2" s="13"/>
      <c r="K2" s="13"/>
      <c r="L2" s="13"/>
      <c r="M2" s="53"/>
      <c r="N2" s="53"/>
      <c r="O2" s="53"/>
      <c r="P2" s="13"/>
    </row>
    <row r="3" ht="220.15" customHeight="1" spans="1:17">
      <c r="A3" s="48"/>
      <c r="B3" s="54"/>
      <c r="C3" s="48"/>
      <c r="D3" s="48"/>
      <c r="E3" s="48"/>
      <c r="F3" s="48"/>
      <c r="G3" s="55"/>
      <c r="H3" s="56" t="s">
        <v>0</v>
      </c>
      <c r="I3" s="17"/>
      <c r="J3" s="9"/>
      <c r="K3" s="9"/>
      <c r="L3" s="9"/>
      <c r="M3" s="17"/>
      <c r="N3" s="17"/>
      <c r="O3" s="17"/>
      <c r="P3" s="9"/>
      <c r="Q3" s="75"/>
    </row>
    <row r="4" ht="15" customHeight="1" spans="1:16">
      <c r="A4" s="48"/>
      <c r="B4" s="57"/>
      <c r="C4" s="58"/>
      <c r="D4" s="58"/>
      <c r="E4" s="58"/>
      <c r="F4" s="58"/>
      <c r="G4" s="55"/>
      <c r="H4" s="17"/>
      <c r="I4" s="17"/>
      <c r="J4" s="9"/>
      <c r="K4" s="9"/>
      <c r="L4" s="9"/>
      <c r="M4" s="17"/>
      <c r="N4" s="17"/>
      <c r="O4" s="17"/>
      <c r="P4" s="9"/>
    </row>
    <row r="5" ht="34.9" customHeight="1" spans="1:16">
      <c r="A5" s="48"/>
      <c r="B5" s="59" t="s">
        <v>2</v>
      </c>
      <c r="C5" s="60" t="s">
        <v>3</v>
      </c>
      <c r="D5" s="60" t="s">
        <v>4</v>
      </c>
      <c r="E5" s="60" t="s">
        <v>5</v>
      </c>
      <c r="F5" s="60" t="s">
        <v>6</v>
      </c>
      <c r="G5" s="17"/>
      <c r="H5" s="17"/>
      <c r="I5" s="17"/>
      <c r="J5" s="9" t="s">
        <v>7</v>
      </c>
      <c r="K5" s="17" t="s">
        <v>8</v>
      </c>
      <c r="L5" s="17" t="s">
        <v>9</v>
      </c>
      <c r="M5" s="76" t="s">
        <v>10</v>
      </c>
      <c r="N5" s="17" t="s">
        <v>11</v>
      </c>
      <c r="O5" s="17" t="s">
        <v>12</v>
      </c>
      <c r="P5" s="9" t="s">
        <v>13</v>
      </c>
    </row>
    <row r="6" ht="19.9" customHeight="1" spans="1:16">
      <c r="A6" s="48"/>
      <c r="B6" s="61" t="str">
        <f>P6</f>
        <v>الاستقبال</v>
      </c>
      <c r="C6" s="62">
        <f>VLOOKUP(ملخص_TBL[[#This Row],[الفئة]],TBL_RankingData,2,FALSE)</f>
        <v>14500</v>
      </c>
      <c r="D6" s="62">
        <f>IF(VLOOKUP(ملخص_TBL[[#This Row],[الفئة]],TBL_RankingData,3,FALSE)=0,"",VLOOKUP(ملخص_TBL[[#This Row],[الفئة]],TBL_RankingData,3,FALSE))</f>
        <v>12800</v>
      </c>
      <c r="E6" s="62">
        <f>IF(OR(ملخص_TBL[[#This Row],["التكلفة المقدرة"]]="",ملخص_TBL[[#This Row],[التكلفة الفعلية]]=""),"",ملخص_TBL[[#This Row],["التكلفة المقدرة"]]-ملخص_TBL[[#This Row],[التكلفة الفعلية]])</f>
        <v>1700</v>
      </c>
      <c r="F6" s="63">
        <f>ملخص_TBL[[#This Row],["التكلفة المقدرة"]]/SUM(ملخص_TBL["التكلفة المقدرة"])</f>
        <v>0.487394957983193</v>
      </c>
      <c r="G6" s="17"/>
      <c r="H6" s="17"/>
      <c r="I6" s="17"/>
      <c r="J6" s="9" t="s">
        <v>14</v>
      </c>
      <c r="K6" s="73">
        <f>TBL_Reception[[#Totals],[مُقدر]]</f>
        <v>14500</v>
      </c>
      <c r="L6" s="17">
        <f>TBL_Reception[[#Totals],[الفعلي]]</f>
        <v>12800</v>
      </c>
      <c r="M6" s="17">
        <f>K6-O6/100</f>
        <v>14499.99</v>
      </c>
      <c r="N6" s="17">
        <f t="shared" ref="N6:N15" si="0">_xlfn.RANK.AVG(M6,$M$6:$M$15)</f>
        <v>1</v>
      </c>
      <c r="O6" s="17">
        <v>1</v>
      </c>
      <c r="P6" s="9" t="str">
        <f t="shared" ref="P6:P15" si="1">INDEX(TBL_RankingData,MATCH(O6,$N$6:$N$15,0),1)</f>
        <v>الاستقبال</v>
      </c>
    </row>
    <row r="7" ht="19.9" customHeight="1" spans="1:16">
      <c r="A7" s="48"/>
      <c r="B7" s="61" t="str">
        <f t="shared" ref="B7:B15" si="2">P7</f>
        <v>الملابس</v>
      </c>
      <c r="C7" s="62">
        <f>VLOOKUP(ملخص_TBL[[#This Row],[الفئة]],TBL_RankingData,2,FALSE)</f>
        <v>4000</v>
      </c>
      <c r="D7" s="62">
        <f>IF(VLOOKUP(ملخص_TBL[[#This Row],[الفئة]],TBL_RankingData,3,FALSE)=0,"",VLOOKUP(ملخص_TBL[[#This Row],[الفئة]],TBL_RankingData,3,FALSE))</f>
        <v>2900</v>
      </c>
      <c r="E7" s="62">
        <f>IF(OR(ملخص_TBL[[#This Row],["التكلفة المقدرة"]]="",ملخص_TBL[[#This Row],[التكلفة الفعلية]]=""),"",ملخص_TBL[[#This Row],["التكلفة المقدرة"]]-ملخص_TBL[[#This Row],[التكلفة الفعلية]])</f>
        <v>1100</v>
      </c>
      <c r="F7" s="63">
        <f>ملخص_TBL[[#This Row],["التكلفة المقدرة"]]/SUM(ملخص_TBL["التكلفة المقدرة"])</f>
        <v>0.134453781512605</v>
      </c>
      <c r="G7" s="17"/>
      <c r="H7" s="17"/>
      <c r="I7" s="17"/>
      <c r="J7" s="9" t="s">
        <v>15</v>
      </c>
      <c r="K7" s="17">
        <f>TBL_Attire[[#Totals],[المُقدر]]</f>
        <v>4000</v>
      </c>
      <c r="L7" s="17">
        <f>TBL_Attire[[#Totals],[الفعلي]]</f>
        <v>2900</v>
      </c>
      <c r="M7" s="17">
        <f t="shared" ref="M7:M15" si="3">K7-O7/100</f>
        <v>3999.98</v>
      </c>
      <c r="N7" s="17">
        <f t="shared" si="0"/>
        <v>2</v>
      </c>
      <c r="O7" s="17">
        <v>2</v>
      </c>
      <c r="P7" s="9" t="str">
        <f t="shared" si="1"/>
        <v>الملابس</v>
      </c>
    </row>
    <row r="8" ht="19.9" customHeight="1" spans="1:16">
      <c r="A8" s="48"/>
      <c r="B8" s="61" t="str">
        <f t="shared" si="2"/>
        <v>الأزهار والزخرفة</v>
      </c>
      <c r="C8" s="62">
        <f>VLOOKUP(ملخص_TBL[[#This Row],[الفئة]],TBL_RankingData,2,FALSE)</f>
        <v>3000</v>
      </c>
      <c r="D8" s="62" t="str">
        <f>IF(VLOOKUP(ملخص_TBL[[#This Row],[الفئة]],TBL_RankingData,3,FALSE)=0,"",VLOOKUP(ملخص_TBL[[#This Row],[الفئة]],TBL_RankingData,3,FALSE))</f>
        <v/>
      </c>
      <c r="E8" s="62" t="str">
        <f>IF(OR(ملخص_TBL[[#This Row],["التكلفة المقدرة"]]="",ملخص_TBL[[#This Row],[التكلفة الفعلية]]=""),"",ملخص_TBL[[#This Row],["التكلفة المقدرة"]]-ملخص_TBL[[#This Row],[التكلفة الفعلية]])</f>
        <v/>
      </c>
      <c r="F8" s="63">
        <f>ملخص_TBL[[#This Row],["التكلفة المقدرة"]]/SUM(ملخص_TBL["التكلفة المقدرة"])</f>
        <v>0.100840336134454</v>
      </c>
      <c r="G8" s="17"/>
      <c r="H8" s="17"/>
      <c r="I8" s="17"/>
      <c r="J8" s="9" t="s">
        <v>16</v>
      </c>
      <c r="K8" s="17">
        <f>TBL_FlowersAndDecor[[#Totals],[المُقدر]]</f>
        <v>3000</v>
      </c>
      <c r="L8" s="17">
        <f>TBL_FlowersAndDecor[[#Totals],[الفعلي]]</f>
        <v>0</v>
      </c>
      <c r="M8" s="17">
        <f t="shared" si="3"/>
        <v>2999.97</v>
      </c>
      <c r="N8" s="17">
        <f t="shared" si="0"/>
        <v>3</v>
      </c>
      <c r="O8" s="17">
        <v>3</v>
      </c>
      <c r="P8" s="9" t="str">
        <f t="shared" si="1"/>
        <v>الأزهار والزخرفة</v>
      </c>
    </row>
    <row r="9" ht="19.9" customHeight="1" spans="1:16">
      <c r="A9" s="48"/>
      <c r="B9" s="61" t="str">
        <f t="shared" si="2"/>
        <v>الصور الفوتوغرافية والفيديو</v>
      </c>
      <c r="C9" s="62">
        <f>VLOOKUP(ملخص_TBL[[#This Row],[الفئة]],TBL_RankingData,2,FALSE)</f>
        <v>2500</v>
      </c>
      <c r="D9" s="62" t="str">
        <f>IF(VLOOKUP(ملخص_TBL[[#This Row],[الفئة]],TBL_RankingData,3,FALSE)=0,"",VLOOKUP(ملخص_TBL[[#This Row],[الفئة]],TBL_RankingData,3,FALSE))</f>
        <v/>
      </c>
      <c r="E9" s="62" t="str">
        <f>IF(OR(ملخص_TBL[[#This Row],["التكلفة المقدرة"]]="",ملخص_TBL[[#This Row],[التكلفة الفعلية]]=""),"",ملخص_TBL[[#This Row],["التكلفة المقدرة"]]-ملخص_TBL[[#This Row],[التكلفة الفعلية]])</f>
        <v/>
      </c>
      <c r="F9" s="63">
        <f>ملخص_TBL[[#This Row],["التكلفة المقدرة"]]/SUM(ملخص_TBL["التكلفة المقدرة"])</f>
        <v>0.0840336134453782</v>
      </c>
      <c r="G9" s="17"/>
      <c r="H9" s="17"/>
      <c r="I9" s="17"/>
      <c r="J9" s="9" t="s">
        <v>17</v>
      </c>
      <c r="K9" s="17">
        <f>TBL_Music[[#Totals],[المُقدر]]</f>
        <v>1800</v>
      </c>
      <c r="L9" s="17">
        <f>TBL_Music[[#Totals],[الفعلي]]</f>
        <v>0</v>
      </c>
      <c r="M9" s="17">
        <f t="shared" si="3"/>
        <v>1799.96</v>
      </c>
      <c r="N9" s="17">
        <f t="shared" si="0"/>
        <v>5</v>
      </c>
      <c r="O9" s="17">
        <v>4</v>
      </c>
      <c r="P9" s="9" t="str">
        <f t="shared" si="1"/>
        <v>الصور الفوتوغرافية والفيديو</v>
      </c>
    </row>
    <row r="10" ht="19.9" customHeight="1" spans="1:16">
      <c r="A10" s="48"/>
      <c r="B10" s="61" t="str">
        <f t="shared" si="2"/>
        <v>الموسيقى</v>
      </c>
      <c r="C10" s="62">
        <f>VLOOKUP(ملخص_TBL[[#This Row],[الفئة]],TBL_RankingData,2,FALSE)</f>
        <v>1800</v>
      </c>
      <c r="D10" s="62" t="str">
        <f>IF(VLOOKUP(ملخص_TBL[[#This Row],[الفئة]],TBL_RankingData,3,FALSE)=0,"",VLOOKUP(ملخص_TBL[[#This Row],[الفئة]],TBL_RankingData,3,FALSE))</f>
        <v/>
      </c>
      <c r="E10" s="62" t="str">
        <f>IF(OR(ملخص_TBL[[#This Row],["التكلفة المقدرة"]]="",ملخص_TBL[[#This Row],[التكلفة الفعلية]]=""),"",ملخص_TBL[[#This Row],["التكلفة المقدرة"]]-ملخص_TBL[[#This Row],[التكلفة الفعلية]])</f>
        <v/>
      </c>
      <c r="F10" s="63">
        <f>ملخص_TBL[[#This Row],["التكلفة المقدرة"]]/SUM(ملخص_TBL["التكلفة المقدرة"])</f>
        <v>0.0605042016806723</v>
      </c>
      <c r="G10" s="17"/>
      <c r="H10" s="17"/>
      <c r="I10" s="17"/>
      <c r="J10" s="9" t="s">
        <v>18</v>
      </c>
      <c r="K10" s="17">
        <f>TBL_PhotographsAndVideo[[#Totals],[المُقدر]]</f>
        <v>2500</v>
      </c>
      <c r="L10" s="17">
        <f>TBL_PhotographsAndVideo[[#Totals],[الفعلي]]</f>
        <v>0</v>
      </c>
      <c r="M10" s="17">
        <f t="shared" si="3"/>
        <v>2499.95</v>
      </c>
      <c r="N10" s="17">
        <f t="shared" si="0"/>
        <v>4</v>
      </c>
      <c r="O10" s="17">
        <v>5</v>
      </c>
      <c r="P10" s="9" t="str">
        <f t="shared" si="1"/>
        <v>الموسيقى</v>
      </c>
    </row>
    <row r="11" ht="19.9" customHeight="1" spans="1:16">
      <c r="A11" s="48"/>
      <c r="B11" s="61" t="str">
        <f t="shared" si="2"/>
        <v>هدايا حفل الزواج والهدايا</v>
      </c>
      <c r="C11" s="62">
        <f>VLOOKUP(ملخص_TBL[[#This Row],[الفئة]],TBL_RankingData,2,FALSE)</f>
        <v>1100</v>
      </c>
      <c r="D11" s="62" t="str">
        <f>IF(VLOOKUP(ملخص_TBL[[#This Row],[الفئة]],TBL_RankingData,3,FALSE)=0,"",VLOOKUP(ملخص_TBL[[#This Row],[الفئة]],TBL_RankingData,3,FALSE))</f>
        <v/>
      </c>
      <c r="E11" s="62" t="str">
        <f>IF(OR(ملخص_TBL[[#This Row],["التكلفة المقدرة"]]="",ملخص_TBL[[#This Row],[التكلفة الفعلية]]=""),"",ملخص_TBL[[#This Row],["التكلفة المقدرة"]]-ملخص_TBL[[#This Row],[التكلفة الفعلية]])</f>
        <v/>
      </c>
      <c r="F11" s="63">
        <f>ملخص_TBL[[#This Row],["التكلفة المقدرة"]]/SUM(ملخص_TBL["التكلفة المقدرة"])</f>
        <v>0.0369747899159664</v>
      </c>
      <c r="G11" s="17"/>
      <c r="H11" s="17"/>
      <c r="I11" s="17"/>
      <c r="J11" s="9" t="s">
        <v>19</v>
      </c>
      <c r="K11" s="17">
        <f>TBL_FavorsAndGifts[[#Totals],[المُقدر]]</f>
        <v>1100</v>
      </c>
      <c r="L11" s="17">
        <f>TBL_FavorsAndGifts[[#Totals],[الفعلي]]</f>
        <v>0</v>
      </c>
      <c r="M11" s="17">
        <f t="shared" si="3"/>
        <v>1099.94</v>
      </c>
      <c r="N11" s="17">
        <f t="shared" si="0"/>
        <v>6</v>
      </c>
      <c r="O11" s="17">
        <v>6</v>
      </c>
      <c r="P11" s="9" t="str">
        <f t="shared" si="1"/>
        <v>هدايا حفل الزواج والهدايا</v>
      </c>
    </row>
    <row r="12" ht="19.9" customHeight="1" spans="1:16">
      <c r="A12" s="48"/>
      <c r="B12" s="61" t="str">
        <f t="shared" si="2"/>
        <v>خواتم الزواج</v>
      </c>
      <c r="C12" s="62">
        <f>VLOOKUP(ملخص_TBL[[#This Row],[الفئة]],TBL_RankingData,2,FALSE)</f>
        <v>1100</v>
      </c>
      <c r="D12" s="62" t="str">
        <f>IF(VLOOKUP(ملخص_TBL[[#This Row],[الفئة]],TBL_RankingData,3,FALSE)=0,"",VLOOKUP(ملخص_TBL[[#This Row],[الفئة]],TBL_RankingData,3,FALSE))</f>
        <v/>
      </c>
      <c r="E12" s="62" t="str">
        <f>IF(OR(ملخص_TBL[[#This Row],["التكلفة المقدرة"]]="",ملخص_TBL[[#This Row],[التكلفة الفعلية]]=""),"",ملخص_TBL[[#This Row],["التكلفة المقدرة"]]-ملخص_TBL[[#This Row],[التكلفة الفعلية]])</f>
        <v/>
      </c>
      <c r="F12" s="63">
        <f>ملخص_TBL[[#This Row],["التكلفة المقدرة"]]/SUM(ملخص_TBL["التكلفة المقدرة"])</f>
        <v>0.0369747899159664</v>
      </c>
      <c r="G12" s="17"/>
      <c r="H12" s="17"/>
      <c r="I12" s="17"/>
      <c r="J12" s="9" t="s">
        <v>20</v>
      </c>
      <c r="K12" s="17">
        <f>TBL_Ceremony[[#Totals],[المُقدر]]</f>
        <v>800</v>
      </c>
      <c r="L12" s="17">
        <f>TBL_Ceremony[[#Totals],[الفعلي]]</f>
        <v>0</v>
      </c>
      <c r="M12" s="17">
        <f t="shared" si="3"/>
        <v>799.93</v>
      </c>
      <c r="N12" s="17">
        <f t="shared" si="0"/>
        <v>8</v>
      </c>
      <c r="O12" s="17">
        <v>7</v>
      </c>
      <c r="P12" s="9" t="str">
        <f t="shared" si="1"/>
        <v>خواتم الزواج</v>
      </c>
    </row>
    <row r="13" ht="19.9" customHeight="1" spans="1:16">
      <c r="A13" s="48"/>
      <c r="B13" s="61" t="str">
        <f t="shared" si="2"/>
        <v>الحفل</v>
      </c>
      <c r="C13" s="62">
        <f>VLOOKUP(ملخص_TBL[[#This Row],[الفئة]],TBL_RankingData,2,FALSE)</f>
        <v>800</v>
      </c>
      <c r="D13" s="62" t="str">
        <f>IF(VLOOKUP(ملخص_TBL[[#This Row],[الفئة]],TBL_RankingData,3,FALSE)=0,"",VLOOKUP(ملخص_TBL[[#This Row],[الفئة]],TBL_RankingData,3,FALSE))</f>
        <v/>
      </c>
      <c r="E13" s="62" t="str">
        <f>IF(OR(ملخص_TBL[[#This Row],["التكلفة المقدرة"]]="",ملخص_TBL[[#This Row],[التكلفة الفعلية]]=""),"",ملخص_TBL[[#This Row],["التكلفة المقدرة"]]-ملخص_TBL[[#This Row],[التكلفة الفعلية]])</f>
        <v/>
      </c>
      <c r="F13" s="63">
        <f>ملخص_TBL[[#This Row],["التكلفة المقدرة"]]/SUM(ملخص_TBL["التكلفة المقدرة"])</f>
        <v>0.026890756302521</v>
      </c>
      <c r="G13" s="17"/>
      <c r="H13" s="17"/>
      <c r="I13" s="17"/>
      <c r="J13" s="9" t="s">
        <v>21</v>
      </c>
      <c r="K13" s="17">
        <f>TBL_Stationery[[#Totals],[المُقدر]]</f>
        <v>500</v>
      </c>
      <c r="L13" s="17">
        <f>TBL_Stationery[[#Totals],[الفعلي]]</f>
        <v>0</v>
      </c>
      <c r="M13" s="17">
        <f t="shared" si="3"/>
        <v>499.92</v>
      </c>
      <c r="N13" s="17">
        <f t="shared" si="0"/>
        <v>9</v>
      </c>
      <c r="O13" s="17">
        <v>8</v>
      </c>
      <c r="P13" s="9" t="str">
        <f t="shared" si="1"/>
        <v>الحفل</v>
      </c>
    </row>
    <row r="14" ht="19.9" customHeight="1" spans="1:16">
      <c r="A14" s="48"/>
      <c r="B14" s="61" t="str">
        <f t="shared" si="2"/>
        <v>الخطابات</v>
      </c>
      <c r="C14" s="62">
        <f>VLOOKUP(ملخص_TBL[[#This Row],[الفئة]],TBL_RankingData,2,FALSE)</f>
        <v>500</v>
      </c>
      <c r="D14" s="62" t="str">
        <f>IF(VLOOKUP(ملخص_TBL[[#This Row],[الفئة]],TBL_RankingData,3,FALSE)=0,"",VLOOKUP(ملخص_TBL[[#This Row],[الفئة]],TBL_RankingData,3,FALSE))</f>
        <v/>
      </c>
      <c r="E14" s="62" t="str">
        <f>IF(OR(ملخص_TBL[[#This Row],["التكلفة المقدرة"]]="",ملخص_TBL[[#This Row],[التكلفة الفعلية]]=""),"",ملخص_TBL[[#This Row],["التكلفة المقدرة"]]-ملخص_TBL[[#This Row],[التكلفة الفعلية]])</f>
        <v/>
      </c>
      <c r="F14" s="63">
        <f>ملخص_TBL[[#This Row],["التكلفة المقدرة"]]/SUM(ملخص_TBL["التكلفة المقدرة"])</f>
        <v>0.0168067226890756</v>
      </c>
      <c r="G14" s="17"/>
      <c r="H14" s="17"/>
      <c r="I14" s="17"/>
      <c r="J14" s="9" t="s">
        <v>22</v>
      </c>
      <c r="K14" s="17">
        <f>TBL_WeddingRings[[#Totals],[المُقدر]]</f>
        <v>1100</v>
      </c>
      <c r="L14" s="17">
        <f>TBL_WeddingRings[[#Totals],[الفعلي]]</f>
        <v>0</v>
      </c>
      <c r="M14" s="17">
        <f t="shared" si="3"/>
        <v>1099.91</v>
      </c>
      <c r="N14" s="17">
        <f t="shared" si="0"/>
        <v>7</v>
      </c>
      <c r="O14" s="17">
        <v>9</v>
      </c>
      <c r="P14" s="9" t="str">
        <f t="shared" si="1"/>
        <v>الخطابات</v>
      </c>
    </row>
    <row r="15" ht="19.9" customHeight="1" spans="1:16">
      <c r="A15" s="48"/>
      <c r="B15" s="61" t="str">
        <f t="shared" si="2"/>
        <v>وسائل النقل</v>
      </c>
      <c r="C15" s="62">
        <f>VLOOKUP(ملخص_TBL[[#This Row],[الفئة]],TBL_RankingData,2,FALSE)</f>
        <v>450</v>
      </c>
      <c r="D15" s="62" t="str">
        <f>IF(VLOOKUP(ملخص_TBL[[#This Row],[الفئة]],TBL_RankingData,3,FALSE)=0,"",VLOOKUP(ملخص_TBL[[#This Row],[الفئة]],TBL_RankingData,3,FALSE))</f>
        <v/>
      </c>
      <c r="E15" s="62" t="str">
        <f>IF(OR(ملخص_TBL[[#This Row],["التكلفة المقدرة"]]="",ملخص_TBL[[#This Row],[التكلفة الفعلية]]=""),"",ملخص_TBL[[#This Row],["التكلفة المقدرة"]]-ملخص_TBL[[#This Row],[التكلفة الفعلية]])</f>
        <v/>
      </c>
      <c r="F15" s="63">
        <f>ملخص_TBL[[#This Row],["التكلفة المقدرة"]]/SUM(ملخص_TBL["التكلفة المقدرة"])</f>
        <v>0.0151260504201681</v>
      </c>
      <c r="G15" s="17"/>
      <c r="H15" s="17"/>
      <c r="I15" s="17"/>
      <c r="J15" s="9" t="s">
        <v>23</v>
      </c>
      <c r="K15" s="17">
        <f>TBL_Transportation[[#Totals],[المُقدر]]</f>
        <v>450</v>
      </c>
      <c r="L15" s="17">
        <f>TBL_Transportation[[#Totals],[الفعلي]]</f>
        <v>0</v>
      </c>
      <c r="M15" s="17">
        <f t="shared" si="3"/>
        <v>449.9</v>
      </c>
      <c r="N15" s="17">
        <f t="shared" si="0"/>
        <v>10</v>
      </c>
      <c r="O15" s="17">
        <v>10</v>
      </c>
      <c r="P15" s="9" t="str">
        <f t="shared" si="1"/>
        <v>وسائل النقل</v>
      </c>
    </row>
    <row r="16" s="45" customFormat="1" ht="34.9" customHeight="1" spans="1:16">
      <c r="A16" s="64"/>
      <c r="B16" s="65" t="s">
        <v>24</v>
      </c>
      <c r="C16" s="66">
        <f>SUBTOTAL(109,ملخص_TBL["التكلفة المقدرة"])</f>
        <v>29750</v>
      </c>
      <c r="D16" s="66">
        <f>SUBTOTAL(109,ملخص_TBL[التكلفة الفعلية])</f>
        <v>15700</v>
      </c>
      <c r="E16" s="66">
        <f>ملخص_TBL[[#Totals],["التكلفة المقدرة"]]-ملخص_TBL[[#Totals],[التكلفة الفعلية]]</f>
        <v>14050</v>
      </c>
      <c r="F16" s="67">
        <f>SUBTOTAL(109,ملخص_TBL[الميزانية %])</f>
        <v>1</v>
      </c>
      <c r="G16" s="68"/>
      <c r="H16" s="68"/>
      <c r="I16" s="68"/>
      <c r="J16" s="74"/>
      <c r="K16" s="74"/>
      <c r="L16" s="74"/>
      <c r="M16" s="68"/>
      <c r="N16" s="68"/>
      <c r="O16" s="68"/>
      <c r="P16" s="74"/>
    </row>
    <row r="17" customHeight="1" spans="1:6">
      <c r="A17" s="69"/>
      <c r="B17" s="70"/>
      <c r="C17" s="71"/>
      <c r="D17" s="71"/>
      <c r="E17" s="71"/>
      <c r="F17" s="71"/>
    </row>
    <row r="18" customHeight="1" spans="1:6">
      <c r="A18" s="69"/>
      <c r="B18" s="71"/>
      <c r="C18" s="71"/>
      <c r="D18" s="71"/>
      <c r="E18" s="71"/>
      <c r="F18" s="71"/>
    </row>
    <row r="19" customHeight="1" spans="1:6">
      <c r="A19" s="69"/>
      <c r="B19" s="71"/>
      <c r="C19" s="71"/>
      <c r="D19" s="71"/>
      <c r="E19" s="71"/>
      <c r="F19" s="71"/>
    </row>
    <row r="20" customHeight="1" spans="1:6">
      <c r="A20" s="69"/>
      <c r="B20" s="71"/>
      <c r="C20" s="71"/>
      <c r="D20" s="71"/>
      <c r="E20" s="71"/>
      <c r="F20" s="71"/>
    </row>
    <row r="21" customHeight="1" spans="2:2">
      <c r="B21" s="5"/>
    </row>
    <row r="22" customHeight="1" spans="2:2">
      <c r="B22" s="5"/>
    </row>
    <row r="23" customHeight="1" spans="2:2">
      <c r="B23" s="5"/>
    </row>
    <row r="24" customHeight="1" spans="2:7">
      <c r="B24" s="5"/>
      <c r="G24" s="72"/>
    </row>
  </sheetData>
  <mergeCells count="1">
    <mergeCell ref="B2:F2"/>
  </mergeCells>
  <dataValidations count="6">
    <dataValidation allowBlank="1" showInputMessage="1" showErrorMessage="1" promptTitle="موازنة حفل الزفاف" prompt="&#10;استخدم هذا القالب لإنشاء ميزانية الزفاف الخاصة بك.&#10;&#10;In في علامة التبويب &quot;تفاصيل الميزانية&quot;، أدخل التفاصيل الخاصة بكل فئة مصروفات.&#10;&#10;يتم تحديث جدول الملخص في الخلية B5 والمخطط في الخلية B3 تلقائيًا.&#10;" sqref="A1"/>
    <dataValidation allowBlank="1" showInputMessage="1" showErrorMessage="1" prompt="يتم تلخيص ميزانية حفل الزفاف تلقائيًا في هذا الجدول. &#10;&#10;The يتم تصنيف فئة المصروفات تلقائيًا بترتيب تنازلي بناءً على إجمالي التكاليف المقدرة.&#10;&#10;" sqref="B5"/>
    <dataValidation allowBlank="1" showInputMessage="1" showErrorMessage="1" prompt="يتم احتساب التكاليف الفعلية تلقائيًا.&#10;&#10;تتم قراءة البيانات من علامة التبويب &quot;تفاصيل الميزانية&quot;." sqref="D5"/>
    <dataValidation allowBlank="1" showInputMessage="1" showErrorMessage="1" prompt="يتم احتساب التكاليف المقدرة تلقائيًا.&#10;&#10;تتم قراءة البيانات من علامة التبويب &quot;تفاصيل الميزانية&quot;." sqref="C5"/>
    <dataValidation allowBlank="1" showInputMessage="1" showErrorMessage="1" prompt="يتم احتساب الفرق تلقائيًا.&#10;&#10; وهذا يوضح الفرق بين التكاليف المقدرة والتكاليف الفعلية." sqref="E5"/>
    <dataValidation allowBlank="1" showInputMessage="1" showErrorMessage="1" prompt="يتم احتساب النسبة المئوية للميزانية تلقائيًا .&#10;&#10; وهذا يوضح التقسيم بناءً على إجمالي التكاليف المقدرة." sqref="F5"/>
  </dataValidations>
  <printOptions horizontalCentered="1"/>
  <pageMargins left="0.25" right="0.25" top="0.75" bottom="0.75" header="0.3" footer="0.3"/>
  <pageSetup paperSize="9" orientation="portrait"/>
  <headerFooter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F94"/>
  <sheetViews>
    <sheetView showGridLines="0" workbookViewId="0">
      <selection activeCell="A1" sqref="A1"/>
    </sheetView>
  </sheetViews>
  <sheetFormatPr defaultColWidth="8.75" defaultRowHeight="21" customHeight="1" outlineLevelCol="5"/>
  <cols>
    <col min="1" max="1" width="1.5" style="2" customWidth="1"/>
    <col min="2" max="2" width="40.75" style="3" customWidth="1"/>
    <col min="3" max="5" width="16.625" style="4" customWidth="1"/>
    <col min="6" max="6" width="1.5" style="5" customWidth="1"/>
    <col min="7" max="16384" width="8.75" style="5"/>
  </cols>
  <sheetData>
    <row r="1" ht="9" customHeight="1" spans="1:6">
      <c r="A1" s="6"/>
      <c r="B1" s="7"/>
      <c r="C1" s="8"/>
      <c r="D1" s="8"/>
      <c r="E1" s="8"/>
      <c r="F1" s="9" t="s">
        <v>0</v>
      </c>
    </row>
    <row r="2" s="1" customFormat="1" ht="41.25" customHeight="1" spans="1:6">
      <c r="A2" s="10"/>
      <c r="B2" s="11" t="s">
        <v>25</v>
      </c>
      <c r="C2" s="12"/>
      <c r="D2" s="12"/>
      <c r="E2" s="12"/>
      <c r="F2" s="13"/>
    </row>
    <row r="3" customHeight="1" spans="1:6">
      <c r="A3" s="14"/>
      <c r="B3" s="15"/>
      <c r="C3" s="16"/>
      <c r="D3" s="16"/>
      <c r="E3" s="16"/>
      <c r="F3" s="17"/>
    </row>
    <row r="4" customHeight="1" spans="1:6">
      <c r="A4" s="6"/>
      <c r="B4" s="18" t="s">
        <v>14</v>
      </c>
      <c r="C4" s="19" t="s">
        <v>26</v>
      </c>
      <c r="D4" s="19" t="s">
        <v>27</v>
      </c>
      <c r="E4" s="20" t="s">
        <v>5</v>
      </c>
      <c r="F4" s="17"/>
    </row>
    <row r="5" customHeight="1" spans="1:6">
      <c r="A5" s="6"/>
      <c r="B5" s="21" t="s">
        <v>28</v>
      </c>
      <c r="C5" s="22">
        <v>8000</v>
      </c>
      <c r="D5" s="23">
        <v>7800</v>
      </c>
      <c r="E5" s="24">
        <f>IF(OR(TBL_Reception[[#This Row],[مُقدر]]="",TBL_Reception[[#This Row],[الفعلي]]=""),"",TBL_Reception[[#This Row],[مُقدر]]-TBL_Reception[[#This Row],[الفعلي]])</f>
        <v>200</v>
      </c>
      <c r="F5" s="17"/>
    </row>
    <row r="6" customHeight="1" spans="1:6">
      <c r="A6" s="6"/>
      <c r="B6" s="25" t="s">
        <v>29</v>
      </c>
      <c r="C6" s="26">
        <v>4000</v>
      </c>
      <c r="D6" s="27">
        <v>4200</v>
      </c>
      <c r="E6" s="24">
        <f>IF(OR(TBL_Reception[[#This Row],[مُقدر]]="",TBL_Reception[[#This Row],[الفعلي]]=""),"",TBL_Reception[[#This Row],[مُقدر]]-TBL_Reception[[#This Row],[الفعلي]])</f>
        <v>-200</v>
      </c>
      <c r="F6" s="17"/>
    </row>
    <row r="7" customHeight="1" spans="1:6">
      <c r="A7" s="6"/>
      <c r="B7" s="25" t="s">
        <v>30</v>
      </c>
      <c r="C7" s="26">
        <v>1000</v>
      </c>
      <c r="D7" s="27">
        <v>800</v>
      </c>
      <c r="E7" s="24">
        <f>IF(OR(TBL_Reception[[#This Row],[مُقدر]]="",TBL_Reception[[#This Row],[الفعلي]]=""),"",TBL_Reception[[#This Row],[مُقدر]]-TBL_Reception[[#This Row],[الفعلي]])</f>
        <v>200</v>
      </c>
      <c r="F7" s="17"/>
    </row>
    <row r="8" customHeight="1" spans="1:6">
      <c r="A8" s="6"/>
      <c r="B8" s="25" t="s">
        <v>31</v>
      </c>
      <c r="C8" s="26">
        <v>1000</v>
      </c>
      <c r="D8" s="27"/>
      <c r="E8" s="24" t="str">
        <f>IF(OR(TBL_Reception[[#This Row],[مُقدر]]="",TBL_Reception[[#This Row],[الفعلي]]=""),"",TBL_Reception[[#This Row],[مُقدر]]-TBL_Reception[[#This Row],[الفعلي]])</f>
        <v/>
      </c>
      <c r="F8" s="17"/>
    </row>
    <row r="9" customHeight="1" spans="1:6">
      <c r="A9" s="6"/>
      <c r="B9" s="28" t="s">
        <v>32</v>
      </c>
      <c r="C9" s="29">
        <v>500</v>
      </c>
      <c r="D9" s="30"/>
      <c r="E9" s="24" t="str">
        <f>IF(OR(TBL_Reception[[#This Row],[مُقدر]]="",TBL_Reception[[#This Row],[الفعلي]]=""),"",TBL_Reception[[#This Row],[مُقدر]]-TBL_Reception[[#This Row],[الفعلي]])</f>
        <v/>
      </c>
      <c r="F9" s="17"/>
    </row>
    <row r="10" customHeight="1" spans="1:6">
      <c r="A10" s="6"/>
      <c r="B10" s="31" t="s">
        <v>33</v>
      </c>
      <c r="C10" s="32">
        <f>SUBTOTAL(109,TBL_Reception[مُقدر])</f>
        <v>14500</v>
      </c>
      <c r="D10" s="32">
        <f>SUBTOTAL(109,TBL_Reception[الفعلي])</f>
        <v>12800</v>
      </c>
      <c r="E10" s="33">
        <f>TBL_Reception[[#Totals],[مُقدر]]-TBL_Reception[[#Totals],[الفعلي]]</f>
        <v>1700</v>
      </c>
      <c r="F10" s="34"/>
    </row>
    <row r="11" customHeight="1" spans="1:6">
      <c r="A11" s="6"/>
      <c r="B11" s="15"/>
      <c r="C11" s="8"/>
      <c r="D11" s="35"/>
      <c r="E11" s="8"/>
      <c r="F11" s="17"/>
    </row>
    <row r="12" customHeight="1" spans="1:6">
      <c r="A12" s="6"/>
      <c r="B12" s="15"/>
      <c r="C12" s="8"/>
      <c r="D12" s="8"/>
      <c r="E12" s="8"/>
      <c r="F12" s="17"/>
    </row>
    <row r="13" customHeight="1" spans="1:6">
      <c r="A13" s="6"/>
      <c r="B13" s="18" t="s">
        <v>15</v>
      </c>
      <c r="C13" s="36" t="s">
        <v>34</v>
      </c>
      <c r="D13" s="36" t="s">
        <v>27</v>
      </c>
      <c r="E13" s="37" t="s">
        <v>5</v>
      </c>
      <c r="F13" s="17"/>
    </row>
    <row r="14" customHeight="1" spans="1:6">
      <c r="A14" s="6"/>
      <c r="B14" s="21" t="s">
        <v>35</v>
      </c>
      <c r="C14" s="26">
        <v>3000</v>
      </c>
      <c r="D14" s="26">
        <v>2900</v>
      </c>
      <c r="E14" s="26">
        <f>IF(OR(TBL_Attire[[#This Row],[المُقدر]]="",TBL_Attire[[#This Row],[الفعلي]]=""),"",TBL_Attire[[#This Row],[المُقدر]]-TBL_Attire[[#This Row],[الفعلي]])</f>
        <v>100</v>
      </c>
      <c r="F14" s="17"/>
    </row>
    <row r="15" customHeight="1" spans="1:6">
      <c r="A15" s="6"/>
      <c r="B15" s="25" t="s">
        <v>36</v>
      </c>
      <c r="C15" s="26">
        <v>100</v>
      </c>
      <c r="D15" s="26"/>
      <c r="E15" s="26" t="str">
        <f>IF(OR(TBL_Attire[[#This Row],[المُقدر]]="",TBL_Attire[[#This Row],[الفعلي]]=""),"",TBL_Attire[[#This Row],[المُقدر]]-TBL_Attire[[#This Row],[الفعلي]])</f>
        <v/>
      </c>
      <c r="F15" s="17"/>
    </row>
    <row r="16" customHeight="1" spans="1:6">
      <c r="A16" s="6"/>
      <c r="B16" s="25" t="s">
        <v>37</v>
      </c>
      <c r="C16" s="26">
        <v>200</v>
      </c>
      <c r="D16" s="26"/>
      <c r="E16" s="26" t="str">
        <f>IF(OR(TBL_Attire[[#This Row],[المُقدر]]="",TBL_Attire[[#This Row],[الفعلي]]=""),"",TBL_Attire[[#This Row],[المُقدر]]-TBL_Attire[[#This Row],[الفعلي]])</f>
        <v/>
      </c>
      <c r="F16" s="17"/>
    </row>
    <row r="17" customHeight="1" spans="1:6">
      <c r="A17" s="6"/>
      <c r="B17" s="25" t="s">
        <v>38</v>
      </c>
      <c r="C17" s="26">
        <v>100</v>
      </c>
      <c r="D17" s="26"/>
      <c r="E17" s="26" t="str">
        <f>IF(OR(TBL_Attire[[#This Row],[المُقدر]]="",TBL_Attire[[#This Row],[الفعلي]]=""),"",TBL_Attire[[#This Row],[المُقدر]]-TBL_Attire[[#This Row],[الفعلي]])</f>
        <v/>
      </c>
      <c r="F17" s="17"/>
    </row>
    <row r="18" customHeight="1" spans="1:6">
      <c r="A18" s="6"/>
      <c r="B18" s="25" t="s">
        <v>39</v>
      </c>
      <c r="C18" s="26">
        <v>500</v>
      </c>
      <c r="D18" s="26"/>
      <c r="E18" s="26" t="str">
        <f>IF(OR(TBL_Attire[[#This Row],[المُقدر]]="",TBL_Attire[[#This Row],[الفعلي]]=""),"",TBL_Attire[[#This Row],[المُقدر]]-TBL_Attire[[#This Row],[الفعلي]])</f>
        <v/>
      </c>
      <c r="F18" s="17"/>
    </row>
    <row r="19" customHeight="1" spans="1:6">
      <c r="A19" s="6"/>
      <c r="B19" s="28" t="s">
        <v>32</v>
      </c>
      <c r="C19" s="26">
        <v>100</v>
      </c>
      <c r="D19" s="26"/>
      <c r="E19" s="26" t="str">
        <f>IF(OR(TBL_Attire[[#This Row],[المُقدر]]="",TBL_Attire[[#This Row],[الفعلي]]=""),"",TBL_Attire[[#This Row],[المُقدر]]-TBL_Attire[[#This Row],[الفعلي]])</f>
        <v/>
      </c>
      <c r="F19" s="17"/>
    </row>
    <row r="20" customHeight="1" spans="1:6">
      <c r="A20" s="6"/>
      <c r="B20" s="38" t="s">
        <v>40</v>
      </c>
      <c r="C20" s="32">
        <f>SUBTOTAL(109,TBL_Attire[المُقدر])</f>
        <v>4000</v>
      </c>
      <c r="D20" s="32">
        <f>SUBTOTAL(109,TBL_Attire[الفعلي])</f>
        <v>2900</v>
      </c>
      <c r="E20" s="33">
        <f>TBL_Attire[[#Totals],[المُقدر]]-TBL_Attire[[#Totals],[الفعلي]]</f>
        <v>1100</v>
      </c>
      <c r="F20" s="17"/>
    </row>
    <row r="21" customHeight="1" spans="1:6">
      <c r="A21" s="6"/>
      <c r="B21" s="15"/>
      <c r="C21" s="8"/>
      <c r="D21" s="8"/>
      <c r="E21" s="8"/>
      <c r="F21" s="17"/>
    </row>
    <row r="22" customHeight="1" spans="1:6">
      <c r="A22" s="6"/>
      <c r="B22" s="15"/>
      <c r="C22" s="8"/>
      <c r="D22" s="8"/>
      <c r="E22" s="8"/>
      <c r="F22" s="17"/>
    </row>
    <row r="23" customHeight="1" spans="1:6">
      <c r="A23" s="6"/>
      <c r="B23" s="18" t="s">
        <v>16</v>
      </c>
      <c r="C23" s="36" t="s">
        <v>34</v>
      </c>
      <c r="D23" s="36" t="s">
        <v>27</v>
      </c>
      <c r="E23" s="37" t="s">
        <v>5</v>
      </c>
      <c r="F23" s="17"/>
    </row>
    <row r="24" customHeight="1" spans="1:6">
      <c r="A24" s="6"/>
      <c r="B24" s="21" t="s">
        <v>41</v>
      </c>
      <c r="C24" s="39">
        <v>1000</v>
      </c>
      <c r="D24" s="39"/>
      <c r="E24" s="39" t="str">
        <f>IF(OR(TBL_FlowersAndDecor[[#This Row],[المُقدر]]="",TBL_FlowersAndDecor[[#This Row],[الفعلي]]=""),"",TBL_FlowersAndDecor[[#This Row],[المُقدر]]-TBL_FlowersAndDecor[[#This Row],[الفعلي]])</f>
        <v/>
      </c>
      <c r="F24" s="17"/>
    </row>
    <row r="25" customHeight="1" spans="1:6">
      <c r="A25" s="6"/>
      <c r="B25" s="25" t="s">
        <v>42</v>
      </c>
      <c r="C25" s="39">
        <v>500</v>
      </c>
      <c r="D25" s="39"/>
      <c r="E25" s="39" t="str">
        <f>IF(OR(TBL_FlowersAndDecor[[#This Row],[المُقدر]]="",TBL_FlowersAndDecor[[#This Row],[الفعلي]]=""),"",TBL_FlowersAndDecor[[#This Row],[المُقدر]]-TBL_FlowersAndDecor[[#This Row],[الفعلي]])</f>
        <v/>
      </c>
      <c r="F25" s="17"/>
    </row>
    <row r="26" customHeight="1" spans="1:6">
      <c r="A26" s="6"/>
      <c r="B26" s="25" t="s">
        <v>43</v>
      </c>
      <c r="C26" s="39">
        <v>100</v>
      </c>
      <c r="D26" s="39"/>
      <c r="E26" s="39" t="str">
        <f>IF(OR(TBL_FlowersAndDecor[[#This Row],[المُقدر]]="",TBL_FlowersAndDecor[[#This Row],[الفعلي]]=""),"",TBL_FlowersAndDecor[[#This Row],[المُقدر]]-TBL_FlowersAndDecor[[#This Row],[الفعلي]])</f>
        <v/>
      </c>
      <c r="F26" s="17"/>
    </row>
    <row r="27" customHeight="1" spans="1:6">
      <c r="A27" s="6"/>
      <c r="B27" s="25" t="s">
        <v>44</v>
      </c>
      <c r="C27" s="39">
        <v>500</v>
      </c>
      <c r="D27" s="39"/>
      <c r="E27" s="39" t="str">
        <f>IF(OR(TBL_FlowersAndDecor[[#This Row],[المُقدر]]="",TBL_FlowersAndDecor[[#This Row],[الفعلي]]=""),"",TBL_FlowersAndDecor[[#This Row],[المُقدر]]-TBL_FlowersAndDecor[[#This Row],[الفعلي]])</f>
        <v/>
      </c>
      <c r="F27" s="17"/>
    </row>
    <row r="28" customHeight="1" spans="1:6">
      <c r="A28" s="6"/>
      <c r="B28" s="25" t="s">
        <v>45</v>
      </c>
      <c r="C28" s="39">
        <v>100</v>
      </c>
      <c r="D28" s="39"/>
      <c r="E28" s="39" t="str">
        <f>IF(OR(TBL_FlowersAndDecor[[#This Row],[المُقدر]]="",TBL_FlowersAndDecor[[#This Row],[الفعلي]]=""),"",TBL_FlowersAndDecor[[#This Row],[المُقدر]]-TBL_FlowersAndDecor[[#This Row],[الفعلي]])</f>
        <v/>
      </c>
      <c r="F28" s="17"/>
    </row>
    <row r="29" customHeight="1" spans="1:6">
      <c r="A29" s="6"/>
      <c r="B29" s="25" t="s">
        <v>46</v>
      </c>
      <c r="C29" s="39">
        <v>200</v>
      </c>
      <c r="D29" s="39"/>
      <c r="E29" s="39" t="str">
        <f>IF(OR(TBL_FlowersAndDecor[[#This Row],[المُقدر]]="",TBL_FlowersAndDecor[[#This Row],[الفعلي]]=""),"",TBL_FlowersAndDecor[[#This Row],[المُقدر]]-TBL_FlowersAndDecor[[#This Row],[الفعلي]])</f>
        <v/>
      </c>
      <c r="F29" s="17"/>
    </row>
    <row r="30" customHeight="1" spans="1:6">
      <c r="A30" s="6"/>
      <c r="B30" s="25" t="s">
        <v>47</v>
      </c>
      <c r="C30" s="39">
        <v>300</v>
      </c>
      <c r="D30" s="39"/>
      <c r="E30" s="39" t="str">
        <f>IF(OR(TBL_FlowersAndDecor[[#This Row],[المُقدر]]="",TBL_FlowersAndDecor[[#This Row],[الفعلي]]=""),"",TBL_FlowersAndDecor[[#This Row],[المُقدر]]-TBL_FlowersAndDecor[[#This Row],[الفعلي]])</f>
        <v/>
      </c>
      <c r="F30" s="17"/>
    </row>
    <row r="31" customHeight="1" spans="1:6">
      <c r="A31" s="6"/>
      <c r="B31" s="25" t="s">
        <v>48</v>
      </c>
      <c r="C31" s="39">
        <v>200</v>
      </c>
      <c r="D31" s="39"/>
      <c r="E31" s="39" t="str">
        <f>IF(OR(TBL_FlowersAndDecor[[#This Row],[المُقدر]]="",TBL_FlowersAndDecor[[#This Row],[الفعلي]]=""),"",TBL_FlowersAndDecor[[#This Row],[المُقدر]]-TBL_FlowersAndDecor[[#This Row],[الفعلي]])</f>
        <v/>
      </c>
      <c r="F31" s="17"/>
    </row>
    <row r="32" customHeight="1" spans="1:6">
      <c r="A32" s="6"/>
      <c r="B32" s="28" t="s">
        <v>32</v>
      </c>
      <c r="C32" s="39">
        <v>100</v>
      </c>
      <c r="D32" s="39"/>
      <c r="E32" s="39" t="str">
        <f>IF(OR(TBL_FlowersAndDecor[[#This Row],[المُقدر]]="",TBL_FlowersAndDecor[[#This Row],[الفعلي]]=""),"",TBL_FlowersAndDecor[[#This Row],[المُقدر]]-TBL_FlowersAndDecor[[#This Row],[الفعلي]])</f>
        <v/>
      </c>
      <c r="F32" s="17"/>
    </row>
    <row r="33" customHeight="1" spans="1:6">
      <c r="A33" s="6"/>
      <c r="B33" s="38" t="s">
        <v>49</v>
      </c>
      <c r="C33" s="32">
        <f>SUBTOTAL(109,TBL_FlowersAndDecor[المُقدر])</f>
        <v>3000</v>
      </c>
      <c r="D33" s="32">
        <f>SUBTOTAL(109,TBL_FlowersAndDecor[الفعلي])</f>
        <v>0</v>
      </c>
      <c r="E33" s="33">
        <f>TBL_FlowersAndDecor[[#Totals],[المُقدر]]-TBL_FlowersAndDecor[[#Totals],[الفعلي]]</f>
        <v>3000</v>
      </c>
      <c r="F33" s="17"/>
    </row>
    <row r="34" customHeight="1" spans="1:6">
      <c r="A34" s="6"/>
      <c r="B34" s="15"/>
      <c r="C34" s="8"/>
      <c r="D34" s="8"/>
      <c r="E34" s="8"/>
      <c r="F34" s="17"/>
    </row>
    <row r="35" customHeight="1" spans="1:6">
      <c r="A35" s="6"/>
      <c r="B35" s="15"/>
      <c r="C35" s="8"/>
      <c r="D35" s="8"/>
      <c r="E35" s="8"/>
      <c r="F35" s="17"/>
    </row>
    <row r="36" customHeight="1" spans="1:6">
      <c r="A36" s="6"/>
      <c r="B36" s="18" t="s">
        <v>17</v>
      </c>
      <c r="C36" s="36" t="s">
        <v>34</v>
      </c>
      <c r="D36" s="36" t="s">
        <v>27</v>
      </c>
      <c r="E36" s="37" t="s">
        <v>5</v>
      </c>
      <c r="F36" s="17"/>
    </row>
    <row r="37" customHeight="1" spans="1:6">
      <c r="A37" s="6"/>
      <c r="B37" s="21" t="s">
        <v>50</v>
      </c>
      <c r="C37" s="39">
        <v>700</v>
      </c>
      <c r="D37" s="39"/>
      <c r="E37" s="39" t="str">
        <f>IF(OR(TBL_Music[[#This Row],[المُقدر]]="",TBL_Music[[#This Row],[الفعلي]]=""),"",TBL_Music[[#This Row],[المُقدر]]-TBL_Music[[#This Row],[الفعلي]])</f>
        <v/>
      </c>
      <c r="F37" s="17"/>
    </row>
    <row r="38" customHeight="1" spans="1:6">
      <c r="A38" s="6"/>
      <c r="B38" s="25" t="s">
        <v>51</v>
      </c>
      <c r="C38" s="39">
        <v>300</v>
      </c>
      <c r="D38" s="39"/>
      <c r="E38" s="39" t="str">
        <f>IF(OR(TBL_Music[[#This Row],[المُقدر]]="",TBL_Music[[#This Row],[الفعلي]]=""),"",TBL_Music[[#This Row],[المُقدر]]-TBL_Music[[#This Row],[الفعلي]])</f>
        <v/>
      </c>
      <c r="F38" s="17"/>
    </row>
    <row r="39" customHeight="1" spans="1:6">
      <c r="A39" s="6"/>
      <c r="B39" s="25" t="s">
        <v>52</v>
      </c>
      <c r="C39" s="39">
        <v>200</v>
      </c>
      <c r="D39" s="39"/>
      <c r="E39" s="39" t="str">
        <f>IF(OR(TBL_Music[[#This Row],[المُقدر]]="",TBL_Music[[#This Row],[الفعلي]]=""),"",TBL_Music[[#This Row],[المُقدر]]-TBL_Music[[#This Row],[الفعلي]])</f>
        <v/>
      </c>
      <c r="F39" s="17"/>
    </row>
    <row r="40" customHeight="1" spans="1:6">
      <c r="A40" s="6"/>
      <c r="B40" s="25" t="s">
        <v>53</v>
      </c>
      <c r="C40" s="39">
        <v>400</v>
      </c>
      <c r="D40" s="39"/>
      <c r="E40" s="39" t="str">
        <f>IF(OR(TBL_Music[[#This Row],[المُقدر]]="",TBL_Music[[#This Row],[الفعلي]]=""),"",TBL_Music[[#This Row],[المُقدر]]-TBL_Music[[#This Row],[الفعلي]])</f>
        <v/>
      </c>
      <c r="F40" s="17"/>
    </row>
    <row r="41" customHeight="1" spans="1:6">
      <c r="A41" s="6"/>
      <c r="B41" s="28" t="s">
        <v>32</v>
      </c>
      <c r="C41" s="39">
        <v>200</v>
      </c>
      <c r="D41" s="39"/>
      <c r="E41" s="39" t="str">
        <f>IF(OR(TBL_Music[[#This Row],[المُقدر]]="",TBL_Music[[#This Row],[الفعلي]]=""),"",TBL_Music[[#This Row],[المُقدر]]-TBL_Music[[#This Row],[الفعلي]])</f>
        <v/>
      </c>
      <c r="F41" s="17"/>
    </row>
    <row r="42" customHeight="1" spans="1:6">
      <c r="A42" s="6"/>
      <c r="B42" s="38" t="s">
        <v>54</v>
      </c>
      <c r="C42" s="32">
        <f>SUBTOTAL(109,TBL_Music[المُقدر])</f>
        <v>1800</v>
      </c>
      <c r="D42" s="32">
        <f>SUBTOTAL(109,TBL_Music[الفعلي])</f>
        <v>0</v>
      </c>
      <c r="E42" s="32">
        <f>TBL_Music[[#Totals],[المُقدر]]-TBL_Music[[#Totals],[الفعلي]]</f>
        <v>1800</v>
      </c>
      <c r="F42" s="17"/>
    </row>
    <row r="43" customHeight="1" spans="1:6">
      <c r="A43" s="6"/>
      <c r="B43" s="15"/>
      <c r="C43" s="8"/>
      <c r="D43" s="8"/>
      <c r="E43" s="8"/>
      <c r="F43" s="17"/>
    </row>
    <row r="44" customHeight="1" spans="1:6">
      <c r="A44" s="6"/>
      <c r="B44" s="15"/>
      <c r="C44" s="8"/>
      <c r="D44" s="8"/>
      <c r="E44" s="8"/>
      <c r="F44" s="17"/>
    </row>
    <row r="45" customHeight="1" spans="1:6">
      <c r="A45" s="6"/>
      <c r="B45" s="18" t="s">
        <v>55</v>
      </c>
      <c r="C45" s="36" t="s">
        <v>34</v>
      </c>
      <c r="D45" s="36" t="s">
        <v>27</v>
      </c>
      <c r="E45" s="37" t="s">
        <v>5</v>
      </c>
      <c r="F45" s="17"/>
    </row>
    <row r="46" customHeight="1" spans="1:6">
      <c r="A46" s="6"/>
      <c r="B46" s="21" t="s">
        <v>56</v>
      </c>
      <c r="C46" s="39">
        <v>1000</v>
      </c>
      <c r="D46" s="39"/>
      <c r="E46" s="39" t="str">
        <f>IF(OR(TBL_PhotographsAndVideo[[#This Row],[المُقدر]]="",TBL_PhotographsAndVideo[[#This Row],[الفعلي]]=""),"",TBL_PhotographsAndVideo[[#This Row],[المُقدر]]-TBL_PhotographsAndVideo[[#This Row],[الفعلي]])</f>
        <v/>
      </c>
      <c r="F46" s="17"/>
    </row>
    <row r="47" customHeight="1" spans="1:6">
      <c r="A47" s="6"/>
      <c r="B47" s="25" t="s">
        <v>57</v>
      </c>
      <c r="C47" s="39">
        <v>800</v>
      </c>
      <c r="D47" s="39"/>
      <c r="E47" s="39" t="str">
        <f>IF(OR(TBL_PhotographsAndVideo[[#This Row],[المُقدر]]="",TBL_PhotographsAndVideo[[#This Row],[الفعلي]]=""),"",TBL_PhotographsAndVideo[[#This Row],[المُقدر]]-TBL_PhotographsAndVideo[[#This Row],[الفعلي]])</f>
        <v/>
      </c>
      <c r="F47" s="17"/>
    </row>
    <row r="48" customHeight="1" spans="1:6">
      <c r="A48" s="6"/>
      <c r="B48" s="25" t="s">
        <v>58</v>
      </c>
      <c r="C48" s="39">
        <v>500</v>
      </c>
      <c r="D48" s="39"/>
      <c r="E48" s="39" t="str">
        <f>IF(OR(TBL_PhotographsAndVideo[[#This Row],[المُقدر]]="",TBL_PhotographsAndVideo[[#This Row],[الفعلي]]=""),"",TBL_PhotographsAndVideo[[#This Row],[المُقدر]]-TBL_PhotographsAndVideo[[#This Row],[الفعلي]])</f>
        <v/>
      </c>
      <c r="F48" s="17"/>
    </row>
    <row r="49" customHeight="1" spans="1:6">
      <c r="A49" s="6"/>
      <c r="B49" s="28" t="s">
        <v>32</v>
      </c>
      <c r="C49" s="39">
        <v>200</v>
      </c>
      <c r="D49" s="39"/>
      <c r="E49" s="39" t="str">
        <f>IF(OR(TBL_PhotographsAndVideo[[#This Row],[المُقدر]]="",TBL_PhotographsAndVideo[[#This Row],[الفعلي]]=""),"",TBL_PhotographsAndVideo[[#This Row],[المُقدر]]-TBL_PhotographsAndVideo[[#This Row],[الفعلي]])</f>
        <v/>
      </c>
      <c r="F49" s="17"/>
    </row>
    <row r="50" customHeight="1" spans="1:6">
      <c r="A50" s="6"/>
      <c r="B50" s="38" t="s">
        <v>59</v>
      </c>
      <c r="C50" s="32">
        <f>SUBTOTAL(109,TBL_PhotographsAndVideo[المُقدر])</f>
        <v>2500</v>
      </c>
      <c r="D50" s="32">
        <f>SUBTOTAL(109,TBL_PhotographsAndVideo[الفعلي])</f>
        <v>0</v>
      </c>
      <c r="E50" s="32">
        <f>TBL_PhotographsAndVideo[[#Totals],[المُقدر]]-TBL_PhotographsAndVideo[[#Totals],[الفعلي]]</f>
        <v>2500</v>
      </c>
      <c r="F50" s="17"/>
    </row>
    <row r="51" customHeight="1" spans="1:6">
      <c r="A51" s="6"/>
      <c r="B51" s="15"/>
      <c r="C51" s="8"/>
      <c r="D51" s="8"/>
      <c r="E51" s="8"/>
      <c r="F51" s="17"/>
    </row>
    <row r="52" customHeight="1" spans="1:6">
      <c r="A52" s="6"/>
      <c r="B52" s="15"/>
      <c r="C52" s="8"/>
      <c r="D52" s="8"/>
      <c r="E52" s="8"/>
      <c r="F52" s="17"/>
    </row>
    <row r="53" customHeight="1" spans="1:6">
      <c r="A53" s="6"/>
      <c r="B53" s="18" t="s">
        <v>60</v>
      </c>
      <c r="C53" s="36" t="s">
        <v>34</v>
      </c>
      <c r="D53" s="36" t="s">
        <v>27</v>
      </c>
      <c r="E53" s="37" t="s">
        <v>5</v>
      </c>
      <c r="F53" s="17"/>
    </row>
    <row r="54" customHeight="1" spans="1:6">
      <c r="A54" s="6"/>
      <c r="B54" s="21" t="s">
        <v>61</v>
      </c>
      <c r="C54" s="39">
        <v>700</v>
      </c>
      <c r="D54" s="39"/>
      <c r="E54" s="39" t="str">
        <f>IF(OR(TBL_FavorsAndGifts[[#This Row],[المُقدر]]="",TBL_FavorsAndGifts[[#This Row],[الفعلي]]=""),"",TBL_FavorsAndGifts[[#This Row],[المُقدر]]-TBL_FavorsAndGifts[[#This Row],[الفعلي]])</f>
        <v/>
      </c>
      <c r="F54" s="17"/>
    </row>
    <row r="55" customHeight="1" spans="1:6">
      <c r="A55" s="6"/>
      <c r="B55" s="25" t="s">
        <v>62</v>
      </c>
      <c r="C55" s="39">
        <v>200</v>
      </c>
      <c r="D55" s="39"/>
      <c r="E55" s="39" t="str">
        <f>IF(OR(TBL_FavorsAndGifts[[#This Row],[المُقدر]]="",TBL_FavorsAndGifts[[#This Row],[الفعلي]]=""),"",TBL_FavorsAndGifts[[#This Row],[المُقدر]]-TBL_FavorsAndGifts[[#This Row],[الفعلي]])</f>
        <v/>
      </c>
      <c r="F55" s="17"/>
    </row>
    <row r="56" customHeight="1" spans="1:6">
      <c r="A56" s="6"/>
      <c r="B56" s="28" t="s">
        <v>32</v>
      </c>
      <c r="C56" s="39">
        <v>200</v>
      </c>
      <c r="D56" s="39"/>
      <c r="E56" s="39" t="str">
        <f>IF(OR(TBL_FavorsAndGifts[[#This Row],[المُقدر]]="",TBL_FavorsAndGifts[[#This Row],[الفعلي]]=""),"",TBL_FavorsAndGifts[[#This Row],[المُقدر]]-TBL_FavorsAndGifts[[#This Row],[الفعلي]])</f>
        <v/>
      </c>
      <c r="F56" s="17"/>
    </row>
    <row r="57" customHeight="1" spans="1:6">
      <c r="A57" s="6"/>
      <c r="B57" s="38" t="s">
        <v>63</v>
      </c>
      <c r="C57" s="32">
        <f>SUBTOTAL(109,TBL_FavorsAndGifts[المُقدر])</f>
        <v>1100</v>
      </c>
      <c r="D57" s="32">
        <f>SUBTOTAL(109,TBL_FavorsAndGifts[الفعلي])</f>
        <v>0</v>
      </c>
      <c r="E57" s="32">
        <f>TBL_FavorsAndGifts[[#Totals],[المُقدر]]-TBL_FavorsAndGifts[[#Totals],[الفعلي]]</f>
        <v>1100</v>
      </c>
      <c r="F57" s="17"/>
    </row>
    <row r="58" customHeight="1" spans="1:6">
      <c r="A58" s="6"/>
      <c r="B58" s="15"/>
      <c r="C58" s="8"/>
      <c r="D58" s="8"/>
      <c r="E58" s="8"/>
      <c r="F58" s="17"/>
    </row>
    <row r="59" customHeight="1" spans="1:6">
      <c r="A59" s="6"/>
      <c r="B59" s="15"/>
      <c r="C59" s="8"/>
      <c r="D59" s="8"/>
      <c r="E59" s="8"/>
      <c r="F59" s="17"/>
    </row>
    <row r="60" customHeight="1" spans="1:6">
      <c r="A60" s="6"/>
      <c r="B60" s="18" t="s">
        <v>20</v>
      </c>
      <c r="C60" s="36" t="s">
        <v>34</v>
      </c>
      <c r="D60" s="36" t="s">
        <v>27</v>
      </c>
      <c r="E60" s="37" t="s">
        <v>5</v>
      </c>
      <c r="F60" s="17"/>
    </row>
    <row r="61" customHeight="1" spans="1:6">
      <c r="A61" s="6"/>
      <c r="B61" s="21" t="s">
        <v>64</v>
      </c>
      <c r="C61" s="39">
        <v>500</v>
      </c>
      <c r="D61" s="39"/>
      <c r="E61" s="39" t="str">
        <f>IF(OR(TBL_Ceremony[[#This Row],[المُقدر]]="",TBL_Ceremony[[#This Row],[الفعلي]]=""),"",TBL_Ceremony[[#This Row],[المُقدر]]-TBL_Ceremony[[#This Row],[الفعلي]])</f>
        <v/>
      </c>
      <c r="F61" s="17"/>
    </row>
    <row r="62" customHeight="1" spans="1:6">
      <c r="A62" s="6"/>
      <c r="B62" s="25" t="s">
        <v>65</v>
      </c>
      <c r="C62" s="39">
        <v>200</v>
      </c>
      <c r="D62" s="39"/>
      <c r="E62" s="39" t="str">
        <f>IF(OR(TBL_Ceremony[[#This Row],[المُقدر]]="",TBL_Ceremony[[#This Row],[الفعلي]]=""),"",TBL_Ceremony[[#This Row],[المُقدر]]-TBL_Ceremony[[#This Row],[الفعلي]])</f>
        <v/>
      </c>
      <c r="F62" s="17"/>
    </row>
    <row r="63" customHeight="1" spans="1:6">
      <c r="A63" s="6"/>
      <c r="B63" s="28" t="s">
        <v>32</v>
      </c>
      <c r="C63" s="39">
        <v>100</v>
      </c>
      <c r="D63" s="39"/>
      <c r="E63" s="39" t="str">
        <f>IF(OR(TBL_Ceremony[[#This Row],[المُقدر]]="",TBL_Ceremony[[#This Row],[الفعلي]]=""),"",TBL_Ceremony[[#This Row],[المُقدر]]-TBL_Ceremony[[#This Row],[الفعلي]])</f>
        <v/>
      </c>
      <c r="F63" s="17"/>
    </row>
    <row r="64" customHeight="1" spans="1:6">
      <c r="A64" s="6"/>
      <c r="B64" s="38" t="s">
        <v>66</v>
      </c>
      <c r="C64" s="32">
        <f>SUBTOTAL(109,TBL_Ceremony[المُقدر])</f>
        <v>800</v>
      </c>
      <c r="D64" s="32">
        <f>SUBTOTAL(109,TBL_Ceremony[الفعلي])</f>
        <v>0</v>
      </c>
      <c r="E64" s="32">
        <f>TBL_Ceremony[[#Totals],[المُقدر]]-TBL_Ceremony[[#Totals],[الفعلي]]</f>
        <v>800</v>
      </c>
      <c r="F64" s="17"/>
    </row>
    <row r="65" customHeight="1" spans="1:6">
      <c r="A65" s="6"/>
      <c r="B65" s="15"/>
      <c r="C65" s="8"/>
      <c r="D65" s="8"/>
      <c r="E65" s="8"/>
      <c r="F65" s="17"/>
    </row>
    <row r="66" customHeight="1" spans="1:6">
      <c r="A66" s="6"/>
      <c r="B66" s="15"/>
      <c r="C66" s="8"/>
      <c r="D66" s="8"/>
      <c r="E66" s="8"/>
      <c r="F66" s="17"/>
    </row>
    <row r="67" customHeight="1" spans="1:6">
      <c r="A67" s="6"/>
      <c r="B67" s="18" t="s">
        <v>67</v>
      </c>
      <c r="C67" s="36" t="s">
        <v>34</v>
      </c>
      <c r="D67" s="36" t="s">
        <v>27</v>
      </c>
      <c r="E67" s="37" t="s">
        <v>5</v>
      </c>
      <c r="F67" s="17"/>
    </row>
    <row r="68" customHeight="1" spans="1:6">
      <c r="A68" s="6"/>
      <c r="B68" s="21" t="s">
        <v>68</v>
      </c>
      <c r="C68" s="39">
        <v>50</v>
      </c>
      <c r="D68" s="39"/>
      <c r="E68" s="39" t="str">
        <f>IF(OR(TBL_Stationery[[#This Row],[المُقدر]]="",TBL_Stationery[[#This Row],[الفعلي]]=""),"",TBL_Stationery[[#This Row],[المُقدر]]-TBL_Stationery[[#This Row],[الفعلي]])</f>
        <v/>
      </c>
      <c r="F68" s="17"/>
    </row>
    <row r="69" customHeight="1" spans="1:6">
      <c r="A69" s="6"/>
      <c r="B69" s="25" t="s">
        <v>69</v>
      </c>
      <c r="C69" s="39">
        <v>100</v>
      </c>
      <c r="D69" s="39"/>
      <c r="E69" s="39" t="str">
        <f>IF(OR(TBL_Stationery[[#This Row],[المُقدر]]="",TBL_Stationery[[#This Row],[الفعلي]]=""),"",TBL_Stationery[[#This Row],[المُقدر]]-TBL_Stationery[[#This Row],[الفعلي]])</f>
        <v/>
      </c>
      <c r="F69" s="17"/>
    </row>
    <row r="70" customHeight="1" spans="1:6">
      <c r="A70" s="6"/>
      <c r="B70" s="25" t="s">
        <v>70</v>
      </c>
      <c r="C70" s="39">
        <v>50</v>
      </c>
      <c r="D70" s="39"/>
      <c r="E70" s="39" t="str">
        <f>IF(OR(TBL_Stationery[[#This Row],[المُقدر]]="",TBL_Stationery[[#This Row],[الفعلي]]=""),"",TBL_Stationery[[#This Row],[المُقدر]]-TBL_Stationery[[#This Row],[الفعلي]])</f>
        <v/>
      </c>
      <c r="F70" s="17"/>
    </row>
    <row r="71" customHeight="1" spans="1:6">
      <c r="A71" s="6"/>
      <c r="B71" s="25" t="s">
        <v>71</v>
      </c>
      <c r="C71" s="39">
        <v>50</v>
      </c>
      <c r="D71" s="39"/>
      <c r="E71" s="39" t="str">
        <f>IF(OR(TBL_Stationery[[#This Row],[المُقدر]]="",TBL_Stationery[[#This Row],[الفعلي]]=""),"",TBL_Stationery[[#This Row],[المُقدر]]-TBL_Stationery[[#This Row],[الفعلي]])</f>
        <v/>
      </c>
      <c r="F71" s="17"/>
    </row>
    <row r="72" customHeight="1" spans="1:6">
      <c r="A72" s="6"/>
      <c r="B72" s="25" t="s">
        <v>72</v>
      </c>
      <c r="C72" s="39">
        <v>50</v>
      </c>
      <c r="D72" s="39"/>
      <c r="E72" s="39" t="str">
        <f>IF(OR(TBL_Stationery[[#This Row],[المُقدر]]="",TBL_Stationery[[#This Row],[الفعلي]]=""),"",TBL_Stationery[[#This Row],[المُقدر]]-TBL_Stationery[[#This Row],[الفعلي]])</f>
        <v/>
      </c>
      <c r="F72" s="17"/>
    </row>
    <row r="73" customHeight="1" spans="1:6">
      <c r="A73" s="6"/>
      <c r="B73" s="25" t="s">
        <v>73</v>
      </c>
      <c r="C73" s="39">
        <v>50</v>
      </c>
      <c r="D73" s="39"/>
      <c r="E73" s="39" t="str">
        <f>IF(OR(TBL_Stationery[[#This Row],[المُقدر]]="",TBL_Stationery[[#This Row],[الفعلي]]=""),"",TBL_Stationery[[#This Row],[المُقدر]]-TBL_Stationery[[#This Row],[الفعلي]])</f>
        <v/>
      </c>
      <c r="F73" s="17"/>
    </row>
    <row r="74" customHeight="1" spans="1:6">
      <c r="A74" s="6"/>
      <c r="B74" s="25" t="s">
        <v>74</v>
      </c>
      <c r="C74" s="39">
        <v>50</v>
      </c>
      <c r="D74" s="39"/>
      <c r="E74" s="39" t="str">
        <f>IF(OR(TBL_Stationery[[#This Row],[المُقدر]]="",TBL_Stationery[[#This Row],[الفعلي]]=""),"",TBL_Stationery[[#This Row],[المُقدر]]-TBL_Stationery[[#This Row],[الفعلي]])</f>
        <v/>
      </c>
      <c r="F74" s="17"/>
    </row>
    <row r="75" customHeight="1" spans="1:6">
      <c r="A75" s="6"/>
      <c r="B75" s="28" t="s">
        <v>32</v>
      </c>
      <c r="C75" s="39">
        <v>100</v>
      </c>
      <c r="D75" s="39"/>
      <c r="E75" s="39" t="str">
        <f>IF(OR(TBL_Stationery[[#This Row],[المُقدر]]="",TBL_Stationery[[#This Row],[الفعلي]]=""),"",TBL_Stationery[[#This Row],[المُقدر]]-TBL_Stationery[[#This Row],[الفعلي]])</f>
        <v/>
      </c>
      <c r="F75" s="17"/>
    </row>
    <row r="76" customHeight="1" spans="1:6">
      <c r="A76" s="6"/>
      <c r="B76" s="38" t="s">
        <v>75</v>
      </c>
      <c r="C76" s="32">
        <f>SUBTOTAL(109,TBL_Stationery[المُقدر])</f>
        <v>500</v>
      </c>
      <c r="D76" s="32">
        <f>SUBTOTAL(109,TBL_Stationery[الفعلي])</f>
        <v>0</v>
      </c>
      <c r="E76" s="32">
        <f>TBL_Stationery[[#Totals],[المُقدر]]-TBL_Stationery[[#Totals],[الفعلي]]</f>
        <v>500</v>
      </c>
      <c r="F76" s="17"/>
    </row>
    <row r="77" customHeight="1" spans="1:6">
      <c r="A77" s="6"/>
      <c r="B77" s="15"/>
      <c r="C77" s="8"/>
      <c r="D77" s="8"/>
      <c r="E77" s="8"/>
      <c r="F77" s="17"/>
    </row>
    <row r="78" customHeight="1" spans="1:6">
      <c r="A78" s="6"/>
      <c r="B78" s="15"/>
      <c r="C78" s="8"/>
      <c r="D78" s="8"/>
      <c r="E78" s="8"/>
      <c r="F78" s="17"/>
    </row>
    <row r="79" customHeight="1" spans="1:6">
      <c r="A79" s="6"/>
      <c r="B79" s="18" t="s">
        <v>22</v>
      </c>
      <c r="C79" s="36" t="s">
        <v>34</v>
      </c>
      <c r="D79" s="36" t="s">
        <v>27</v>
      </c>
      <c r="E79" s="37" t="s">
        <v>5</v>
      </c>
      <c r="F79" s="17"/>
    </row>
    <row r="80" customHeight="1" spans="1:6">
      <c r="A80" s="6"/>
      <c r="B80" s="40" t="s">
        <v>22</v>
      </c>
      <c r="C80" s="41">
        <v>1000</v>
      </c>
      <c r="D80" s="41"/>
      <c r="E80" s="41" t="str">
        <f>IF(OR(TBL_WeddingRings[[#This Row],[المُقدر]]="",TBL_WeddingRings[[#This Row],[الفعلي]]=""),"",TBL_WeddingRings[[#This Row],[المُقدر]]-TBL_WeddingRings[[#This Row],[الفعلي]])</f>
        <v/>
      </c>
      <c r="F80" s="17"/>
    </row>
    <row r="81" customHeight="1" spans="1:6">
      <c r="A81" s="6"/>
      <c r="B81" s="42" t="s">
        <v>76</v>
      </c>
      <c r="C81" s="41">
        <v>100</v>
      </c>
      <c r="D81" s="41"/>
      <c r="E81" s="41" t="str">
        <f>IF(OR(TBL_WeddingRings[[#This Row],[المُقدر]]="",TBL_WeddingRings[[#This Row],[الفعلي]]=""),"",TBL_WeddingRings[[#This Row],[المُقدر]]-TBL_WeddingRings[[#This Row],[الفعلي]])</f>
        <v/>
      </c>
      <c r="F81" s="17"/>
    </row>
    <row r="82" customHeight="1" spans="1:6">
      <c r="A82" s="6"/>
      <c r="B82" s="38" t="s">
        <v>77</v>
      </c>
      <c r="C82" s="32">
        <f>SUBTOTAL(109,TBL_WeddingRings[المُقدر])</f>
        <v>1100</v>
      </c>
      <c r="D82" s="32">
        <f>SUBTOTAL(109,TBL_WeddingRings[الفعلي])</f>
        <v>0</v>
      </c>
      <c r="E82" s="32">
        <f>TBL_WeddingRings[[#Totals],[المُقدر]]-TBL_WeddingRings[[#Totals],[الفعلي]]</f>
        <v>1100</v>
      </c>
      <c r="F82" s="17"/>
    </row>
    <row r="83" customHeight="1" spans="1:6">
      <c r="A83" s="6"/>
      <c r="B83" s="15"/>
      <c r="C83" s="8"/>
      <c r="D83" s="8"/>
      <c r="E83" s="8"/>
      <c r="F83" s="17"/>
    </row>
    <row r="84" customHeight="1" spans="1:6">
      <c r="A84" s="6"/>
      <c r="B84" s="15"/>
      <c r="C84" s="8"/>
      <c r="D84" s="8"/>
      <c r="E84" s="8"/>
      <c r="F84" s="17"/>
    </row>
    <row r="85" customHeight="1" spans="1:6">
      <c r="A85" s="6"/>
      <c r="B85" s="18" t="s">
        <v>78</v>
      </c>
      <c r="C85" s="36" t="s">
        <v>34</v>
      </c>
      <c r="D85" s="36" t="s">
        <v>27</v>
      </c>
      <c r="E85" s="37" t="s">
        <v>5</v>
      </c>
      <c r="F85" s="17"/>
    </row>
    <row r="86" customHeight="1" spans="1:6">
      <c r="A86" s="6"/>
      <c r="B86" s="21" t="s">
        <v>79</v>
      </c>
      <c r="C86" s="39">
        <v>100</v>
      </c>
      <c r="D86" s="39"/>
      <c r="E86" s="39" t="str">
        <f>IF(OR(TBL_Transportation[[#This Row],[المُقدر]]="",TBL_Transportation[[#This Row],[الفعلي]]=""),"",TBL_Transportation[[#This Row],[المُقدر]]-TBL_Transportation[[#This Row],[الفعلي]])</f>
        <v/>
      </c>
      <c r="F86" s="17"/>
    </row>
    <row r="87" customHeight="1" spans="1:6">
      <c r="A87" s="6"/>
      <c r="B87" s="25" t="s">
        <v>80</v>
      </c>
      <c r="C87" s="39">
        <v>100</v>
      </c>
      <c r="D87" s="39"/>
      <c r="E87" s="39" t="str">
        <f>IF(OR(TBL_Transportation[[#This Row],[المُقدر]]="",TBL_Transportation[[#This Row],[الفعلي]]=""),"",TBL_Transportation[[#This Row],[المُقدر]]-TBL_Transportation[[#This Row],[الفعلي]])</f>
        <v/>
      </c>
      <c r="F87" s="17"/>
    </row>
    <row r="88" customHeight="1" spans="1:6">
      <c r="A88" s="6"/>
      <c r="B88" s="25" t="s">
        <v>81</v>
      </c>
      <c r="C88" s="39">
        <v>100</v>
      </c>
      <c r="D88" s="39"/>
      <c r="E88" s="39" t="str">
        <f>IF(OR(TBL_Transportation[[#This Row],[المُقدر]]="",TBL_Transportation[[#This Row],[الفعلي]]=""),"",TBL_Transportation[[#This Row],[المُقدر]]-TBL_Transportation[[#This Row],[الفعلي]])</f>
        <v/>
      </c>
      <c r="F88" s="17"/>
    </row>
    <row r="89" customHeight="1" spans="1:6">
      <c r="A89" s="6"/>
      <c r="B89" s="25" t="s">
        <v>82</v>
      </c>
      <c r="C89" s="39">
        <v>50</v>
      </c>
      <c r="D89" s="39"/>
      <c r="E89" s="39" t="str">
        <f>IF(OR(TBL_Transportation[[#This Row],[المُقدر]]="",TBL_Transportation[[#This Row],[الفعلي]]=""),"",TBL_Transportation[[#This Row],[المُقدر]]-TBL_Transportation[[#This Row],[الفعلي]])</f>
        <v/>
      </c>
      <c r="F89" s="17"/>
    </row>
    <row r="90" customHeight="1" spans="1:6">
      <c r="A90" s="6"/>
      <c r="B90" s="28" t="s">
        <v>32</v>
      </c>
      <c r="C90" s="39">
        <v>100</v>
      </c>
      <c r="D90" s="39"/>
      <c r="E90" s="39" t="str">
        <f>IF(OR(TBL_Transportation[[#This Row],[المُقدر]]="",TBL_Transportation[[#This Row],[الفعلي]]=""),"",TBL_Transportation[[#This Row],[المُقدر]]-TBL_Transportation[[#This Row],[الفعلي]])</f>
        <v/>
      </c>
      <c r="F90" s="17"/>
    </row>
    <row r="91" customHeight="1" spans="2:5">
      <c r="B91" s="38" t="s">
        <v>83</v>
      </c>
      <c r="C91" s="32">
        <f>SUBTOTAL(109,TBL_Transportation[المُقدر])</f>
        <v>450</v>
      </c>
      <c r="D91" s="32">
        <f>SUBTOTAL(109,TBL_Transportation[الفعلي])</f>
        <v>0</v>
      </c>
      <c r="E91" s="32">
        <f>TBL_Transportation[[#Totals],[المُقدر]]-TBL_Transportation[[#Totals],[الفعلي]]</f>
        <v>450</v>
      </c>
    </row>
    <row r="92" customHeight="1" spans="2:2">
      <c r="B92" s="43"/>
    </row>
    <row r="93" customHeight="1" spans="2:2">
      <c r="B93" s="43"/>
    </row>
    <row r="94" customHeight="1" spans="2:2">
      <c r="B94" s="43"/>
    </row>
  </sheetData>
  <dataValidations count="1">
    <dataValidation allowBlank="1" showInputMessage="1" showErrorMessage="1" prompt="قم بإضافة بنود مصروفات محددة أو تحريرها لكل فئة.&#10;&#10;Enter التكاليف المقدرة والتكاليف الفعلية. يتم تلقائيًا حساب أعمدة التباين وصفوف الإجمالي." sqref="A1"/>
  </dataValidations>
  <printOptions horizontalCentered="1"/>
  <pageMargins left="0.7" right="0.7" top="0.75" bottom="0.75" header="0.3" footer="0.3"/>
  <pageSetup paperSize="9" orientation="portrait"/>
  <headerFooter/>
  <rowBreaks count="2" manualBreakCount="2">
    <brk id="34" max="16383" man="1"/>
    <brk id="65" max="16383" man="1"/>
  </rowBreaks>
  <tableParts count="10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46223853-B9DB-43C6-BAAA-5E1EE7156AC5}">
  <ds:schemaRefs/>
</ds:datastoreItem>
</file>

<file path=customXml/itemProps2.xml><?xml version="1.0" encoding="utf-8"?>
<ds:datastoreItem xmlns:ds="http://schemas.openxmlformats.org/officeDocument/2006/customXml" ds:itemID="{3A2A0F02-85C8-4B8F-89D8-668D4E6F9B82}">
  <ds:schemaRefs/>
</ds:datastoreItem>
</file>

<file path=customXml/itemProps3.xml><?xml version="1.0" encoding="utf-8"?>
<ds:datastoreItem xmlns:ds="http://schemas.openxmlformats.org/officeDocument/2006/customXml" ds:itemID="{F04524A9-AAD4-4D89-AE3F-C59CD6152D9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موازنة حفل الزفاف</vt:lpstr>
      <vt:lpstr>تفاصيل الموازنة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ALrkmiat</cp:lastModifiedBy>
  <dcterms:created xsi:type="dcterms:W3CDTF">2020-06-09T06:03:00Z</dcterms:created>
  <dcterms:modified xsi:type="dcterms:W3CDTF">2021-06-09T18:00:17Z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0x01010079F111ED35F8CC479449609E8A0923A6</vt:lpwstr>
  </property>
  <property fmtid="{D5CDD505-2E9C-101B-9397-08002B2CF9AE}" pid="3" name="KSOProductBuildVer">
    <vt:lpwstr>2057-11.2.0.10152</vt:lpwstr>
  </property>
</Properties>
</file>